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16.kyoiku.tocho.local\給付貸付課\退職手当係\９０  特殊な案件\05 失退追加支給\07　追加給付（過去に受給していた者）\02　HP掲載\HP掲載依頼\施行\"/>
    </mc:Choice>
  </mc:AlternateContent>
  <bookViews>
    <workbookView xWindow="0" yWindow="0" windowWidth="28800" windowHeight="11610"/>
  </bookViews>
  <sheets>
    <sheet name="簡易計算ツール" sheetId="1" r:id="rId1"/>
    <sheet name="リスト" sheetId="2" state="hidden" r:id="rId2"/>
    <sheet name="計算シート" sheetId="3" state="hidden" r:id="rId3"/>
    <sheet name="計算式あて（再計算後）" sheetId="4" state="hidden" r:id="rId4"/>
    <sheet name="計算式あて（当初）" sheetId="5" state="hidden" r:id="rId5"/>
    <sheet name="カメ" sheetId="6" state="hidden" r:id="rId6"/>
  </sheets>
  <externalReferences>
    <externalReference r:id="rId7"/>
  </externalReferences>
  <calcPr calcId="162913" concurrentManualCount="2"/>
</workbook>
</file>

<file path=xl/calcChain.xml><?xml version="1.0" encoding="utf-8"?>
<calcChain xmlns="http://schemas.openxmlformats.org/spreadsheetml/2006/main">
  <c r="E9" i="3" l="1"/>
  <c r="B9" i="3"/>
  <c r="B10" i="3" s="1"/>
  <c r="B11" i="3" s="1"/>
  <c r="B8" i="3"/>
  <c r="B7" i="3"/>
  <c r="E210" i="4" s="1"/>
  <c r="B5" i="3"/>
  <c r="B3" i="3"/>
  <c r="G3" i="3" s="1"/>
  <c r="H3" i="3" s="1"/>
  <c r="E14" i="3" l="1" a="1"/>
  <c r="E14" i="3" s="1"/>
  <c r="E13" i="3" a="1"/>
  <c r="E13" i="3" s="1"/>
  <c r="G251" i="5"/>
  <c r="I251" i="5" s="1"/>
  <c r="J250" i="5"/>
  <c r="G250" i="5"/>
  <c r="I250" i="5" s="1"/>
  <c r="J249" i="5"/>
  <c r="G249" i="5"/>
  <c r="I249" i="5" s="1"/>
  <c r="J248" i="5"/>
  <c r="G248" i="5"/>
  <c r="I248" i="5" s="1"/>
  <c r="G243" i="5"/>
  <c r="I243" i="5" s="1"/>
  <c r="J242" i="5"/>
  <c r="G242" i="5"/>
  <c r="I242" i="5" s="1"/>
  <c r="J241" i="5"/>
  <c r="G241" i="5"/>
  <c r="I241" i="5" s="1"/>
  <c r="J240" i="5"/>
  <c r="G240" i="5"/>
  <c r="I240" i="5" s="1"/>
  <c r="G234" i="5"/>
  <c r="I234" i="5" s="1"/>
  <c r="J233" i="5"/>
  <c r="G233" i="5"/>
  <c r="I233" i="5" s="1"/>
  <c r="J232" i="5"/>
  <c r="G232" i="5"/>
  <c r="I232" i="5" s="1"/>
  <c r="J231" i="5"/>
  <c r="G231" i="5"/>
  <c r="I231" i="5" s="1"/>
  <c r="G255" i="5"/>
  <c r="I255" i="5" s="1"/>
  <c r="J254" i="5"/>
  <c r="G253" i="5"/>
  <c r="J252" i="5"/>
  <c r="G246" i="5"/>
  <c r="I246" i="5" s="1"/>
  <c r="J245" i="5"/>
  <c r="G244" i="5"/>
  <c r="I244" i="5" s="1"/>
  <c r="G239" i="5"/>
  <c r="I239" i="5" s="1"/>
  <c r="J238" i="5"/>
  <c r="G237" i="5"/>
  <c r="J236" i="5"/>
  <c r="G235" i="5"/>
  <c r="I235" i="5" s="1"/>
  <c r="G230" i="5"/>
  <c r="I230" i="5" s="1"/>
  <c r="J229" i="5"/>
  <c r="G228" i="5"/>
  <c r="I228" i="5" s="1"/>
  <c r="J227" i="5"/>
  <c r="G227" i="5"/>
  <c r="I227" i="5" s="1"/>
  <c r="G222" i="5"/>
  <c r="I222" i="5" s="1"/>
  <c r="J221" i="5"/>
  <c r="G221" i="5"/>
  <c r="I221" i="5" s="1"/>
  <c r="J220" i="5"/>
  <c r="G220" i="5"/>
  <c r="J219" i="5"/>
  <c r="I219" i="5" s="1"/>
  <c r="G219" i="5"/>
  <c r="J218" i="5"/>
  <c r="G218" i="5"/>
  <c r="I218" i="5" s="1"/>
  <c r="G213" i="5"/>
  <c r="I213" i="5" s="1"/>
  <c r="J212" i="5"/>
  <c r="G212" i="5"/>
  <c r="I212" i="5" s="1"/>
  <c r="J211" i="5"/>
  <c r="G211" i="5"/>
  <c r="I211" i="5" s="1"/>
  <c r="J210" i="5"/>
  <c r="G210" i="5"/>
  <c r="I210" i="5" s="1"/>
  <c r="G205" i="5"/>
  <c r="I205" i="5" s="1"/>
  <c r="J204" i="5"/>
  <c r="G204" i="5"/>
  <c r="I204" i="5" s="1"/>
  <c r="J203" i="5"/>
  <c r="G203" i="5"/>
  <c r="J202" i="5"/>
  <c r="I202" i="5" s="1"/>
  <c r="G202" i="5"/>
  <c r="J201" i="5"/>
  <c r="G201" i="5"/>
  <c r="I201" i="5" s="1"/>
  <c r="G196" i="5"/>
  <c r="I196" i="5" s="1"/>
  <c r="J195" i="5"/>
  <c r="G195" i="5"/>
  <c r="I195" i="5" s="1"/>
  <c r="J194" i="5"/>
  <c r="G194" i="5"/>
  <c r="I194" i="5" s="1"/>
  <c r="J193" i="5"/>
  <c r="G193" i="5"/>
  <c r="I193" i="5" s="1"/>
  <c r="G188" i="5"/>
  <c r="I188" i="5" s="1"/>
  <c r="J187" i="5"/>
  <c r="G187" i="5"/>
  <c r="I187" i="5" s="1"/>
  <c r="J186" i="5"/>
  <c r="G186" i="5"/>
  <c r="J185" i="5"/>
  <c r="I185" i="5" s="1"/>
  <c r="G185" i="5"/>
  <c r="J184" i="5"/>
  <c r="G184" i="5"/>
  <c r="I184" i="5" s="1"/>
  <c r="G256" i="5"/>
  <c r="I256" i="5" s="1"/>
  <c r="J253" i="5"/>
  <c r="I253" i="5" s="1"/>
  <c r="G252" i="5"/>
  <c r="I252" i="5" s="1"/>
  <c r="J246" i="5"/>
  <c r="G245" i="5"/>
  <c r="I245" i="5" s="1"/>
  <c r="G238" i="5"/>
  <c r="I238" i="5" s="1"/>
  <c r="J235" i="5"/>
  <c r="J228" i="5"/>
  <c r="G225" i="5"/>
  <c r="I225" i="5" s="1"/>
  <c r="J224" i="5"/>
  <c r="G223" i="5"/>
  <c r="I223" i="5" s="1"/>
  <c r="G216" i="5"/>
  <c r="I216" i="5" s="1"/>
  <c r="J215" i="5"/>
  <c r="G214" i="5"/>
  <c r="I214" i="5" s="1"/>
  <c r="G209" i="5"/>
  <c r="I209" i="5" s="1"/>
  <c r="J208" i="5"/>
  <c r="G207" i="5"/>
  <c r="I207" i="5" s="1"/>
  <c r="J206" i="5"/>
  <c r="G200" i="5"/>
  <c r="I200" i="5" s="1"/>
  <c r="J199" i="5"/>
  <c r="G198" i="5"/>
  <c r="I198" i="5" s="1"/>
  <c r="J197" i="5"/>
  <c r="G191" i="5"/>
  <c r="I191" i="5" s="1"/>
  <c r="J190" i="5"/>
  <c r="G189" i="5"/>
  <c r="I189" i="5" s="1"/>
  <c r="G179" i="5"/>
  <c r="I179" i="5" s="1"/>
  <c r="J178" i="5"/>
  <c r="G178" i="5"/>
  <c r="I178" i="5" s="1"/>
  <c r="J177" i="5"/>
  <c r="G177" i="5"/>
  <c r="I177" i="5" s="1"/>
  <c r="J176" i="5"/>
  <c r="G176" i="5"/>
  <c r="I176" i="5" s="1"/>
  <c r="G171" i="5"/>
  <c r="I171" i="5" s="1"/>
  <c r="J170" i="5"/>
  <c r="G170" i="5"/>
  <c r="I170" i="5" s="1"/>
  <c r="J169" i="5"/>
  <c r="G169" i="5"/>
  <c r="J168" i="5"/>
  <c r="I168" i="5" s="1"/>
  <c r="G168" i="5"/>
  <c r="J167" i="5"/>
  <c r="G167" i="5"/>
  <c r="I167" i="5" s="1"/>
  <c r="G162" i="5"/>
  <c r="I162" i="5" s="1"/>
  <c r="J161" i="5"/>
  <c r="G161" i="5"/>
  <c r="I161" i="5" s="1"/>
  <c r="J160" i="5"/>
  <c r="G160" i="5"/>
  <c r="I160" i="5" s="1"/>
  <c r="J159" i="5"/>
  <c r="G159" i="5"/>
  <c r="I159" i="5" s="1"/>
  <c r="G154" i="5"/>
  <c r="I154" i="5" s="1"/>
  <c r="J153" i="5"/>
  <c r="G153" i="5"/>
  <c r="I153" i="5" s="1"/>
  <c r="J152" i="5"/>
  <c r="G152" i="5"/>
  <c r="J151" i="5"/>
  <c r="I151" i="5" s="1"/>
  <c r="G151" i="5"/>
  <c r="J150" i="5"/>
  <c r="G150" i="5"/>
  <c r="I150" i="5" s="1"/>
  <c r="G145" i="5"/>
  <c r="I145" i="5" s="1"/>
  <c r="J144" i="5"/>
  <c r="G144" i="5"/>
  <c r="I144" i="5" s="1"/>
  <c r="J143" i="5"/>
  <c r="G143" i="5"/>
  <c r="I143" i="5" s="1"/>
  <c r="J142" i="5"/>
  <c r="G142" i="5"/>
  <c r="I142" i="5" s="1"/>
  <c r="G137" i="5"/>
  <c r="I137" i="5" s="1"/>
  <c r="J136" i="5"/>
  <c r="G136" i="5"/>
  <c r="I136" i="5" s="1"/>
  <c r="J135" i="5"/>
  <c r="G135" i="5"/>
  <c r="J134" i="5"/>
  <c r="I134" i="5" s="1"/>
  <c r="G134" i="5"/>
  <c r="J133" i="5"/>
  <c r="G133" i="5"/>
  <c r="I133" i="5" s="1"/>
  <c r="G128" i="5"/>
  <c r="I128" i="5" s="1"/>
  <c r="J127" i="5"/>
  <c r="G127" i="5"/>
  <c r="I127" i="5" s="1"/>
  <c r="J126" i="5"/>
  <c r="G126" i="5"/>
  <c r="I126" i="5" s="1"/>
  <c r="J125" i="5"/>
  <c r="G125" i="5"/>
  <c r="I125" i="5" s="1"/>
  <c r="G120" i="5"/>
  <c r="I120" i="5" s="1"/>
  <c r="J119" i="5"/>
  <c r="G119" i="5"/>
  <c r="I119" i="5" s="1"/>
  <c r="J118" i="5"/>
  <c r="G118" i="5"/>
  <c r="J117" i="5"/>
  <c r="I117" i="5" s="1"/>
  <c r="G117" i="5"/>
  <c r="J116" i="5"/>
  <c r="G116" i="5"/>
  <c r="I116" i="5" s="1"/>
  <c r="G111" i="5"/>
  <c r="I111" i="5" s="1"/>
  <c r="J110" i="5"/>
  <c r="G110" i="5"/>
  <c r="I110" i="5" s="1"/>
  <c r="J109" i="5"/>
  <c r="G109" i="5"/>
  <c r="I109" i="5" s="1"/>
  <c r="J108" i="5"/>
  <c r="G108" i="5"/>
  <c r="I108" i="5" s="1"/>
  <c r="G103" i="5"/>
  <c r="I103" i="5" s="1"/>
  <c r="J102" i="5"/>
  <c r="G102" i="5"/>
  <c r="I102" i="5" s="1"/>
  <c r="J101" i="5"/>
  <c r="G101" i="5"/>
  <c r="J100" i="5"/>
  <c r="I100" i="5" s="1"/>
  <c r="G100" i="5"/>
  <c r="J99" i="5"/>
  <c r="G99" i="5"/>
  <c r="I99" i="5" s="1"/>
  <c r="J255" i="5"/>
  <c r="G247" i="5"/>
  <c r="I247" i="5" s="1"/>
  <c r="J244" i="5"/>
  <c r="G236" i="5"/>
  <c r="G226" i="5"/>
  <c r="I226" i="5" s="1"/>
  <c r="J223" i="5"/>
  <c r="J216" i="5"/>
  <c r="G215" i="5"/>
  <c r="I215" i="5" s="1"/>
  <c r="G208" i="5"/>
  <c r="I208" i="5" s="1"/>
  <c r="J198" i="5"/>
  <c r="G197" i="5"/>
  <c r="I197" i="5" s="1"/>
  <c r="J191" i="5"/>
  <c r="G190" i="5"/>
  <c r="I190" i="5" s="1"/>
  <c r="G183" i="5"/>
  <c r="I183" i="5" s="1"/>
  <c r="J182" i="5"/>
  <c r="G181" i="5"/>
  <c r="I181" i="5" s="1"/>
  <c r="J180" i="5"/>
  <c r="G254" i="5"/>
  <c r="J237" i="5"/>
  <c r="I237" i="5" s="1"/>
  <c r="G229" i="5"/>
  <c r="I229" i="5" s="1"/>
  <c r="J225" i="5"/>
  <c r="G224" i="5"/>
  <c r="I224" i="5" s="1"/>
  <c r="G217" i="5"/>
  <c r="I217" i="5" s="1"/>
  <c r="J214" i="5"/>
  <c r="J207" i="5"/>
  <c r="G206" i="5"/>
  <c r="I206" i="5" s="1"/>
  <c r="G199" i="5"/>
  <c r="I199" i="5" s="1"/>
  <c r="G192" i="5"/>
  <c r="I192" i="5" s="1"/>
  <c r="J189" i="5"/>
  <c r="G182" i="5"/>
  <c r="I182" i="5" s="1"/>
  <c r="J181" i="5"/>
  <c r="G180" i="5"/>
  <c r="I180" i="5" s="1"/>
  <c r="G175" i="5"/>
  <c r="I175" i="5" s="1"/>
  <c r="J174" i="5"/>
  <c r="G173" i="5"/>
  <c r="I173" i="5" s="1"/>
  <c r="J172" i="5"/>
  <c r="G166" i="5"/>
  <c r="I166" i="5" s="1"/>
  <c r="J165" i="5"/>
  <c r="G164" i="5"/>
  <c r="I164" i="5" s="1"/>
  <c r="J163" i="5"/>
  <c r="G157" i="5"/>
  <c r="I157" i="5" s="1"/>
  <c r="J156" i="5"/>
  <c r="G155" i="5"/>
  <c r="I155" i="5" s="1"/>
  <c r="J173" i="5"/>
  <c r="G172" i="5"/>
  <c r="I172" i="5" s="1"/>
  <c r="G165" i="5"/>
  <c r="I165" i="5" s="1"/>
  <c r="G158" i="5"/>
  <c r="I158" i="5" s="1"/>
  <c r="J155" i="5"/>
  <c r="G148" i="5"/>
  <c r="I148" i="5" s="1"/>
  <c r="J147" i="5"/>
  <c r="G146" i="5"/>
  <c r="I146" i="5" s="1"/>
  <c r="G141" i="5"/>
  <c r="I141" i="5" s="1"/>
  <c r="J140" i="5"/>
  <c r="G139" i="5"/>
  <c r="I139" i="5" s="1"/>
  <c r="J138" i="5"/>
  <c r="G132" i="5"/>
  <c r="I132" i="5" s="1"/>
  <c r="J131" i="5"/>
  <c r="G130" i="5"/>
  <c r="I130" i="5" s="1"/>
  <c r="J129" i="5"/>
  <c r="G123" i="5"/>
  <c r="I123" i="5" s="1"/>
  <c r="J122" i="5"/>
  <c r="G121" i="5"/>
  <c r="I121" i="5" s="1"/>
  <c r="G114" i="5"/>
  <c r="I114" i="5" s="1"/>
  <c r="J113" i="5"/>
  <c r="G112" i="5"/>
  <c r="I112" i="5" s="1"/>
  <c r="G107" i="5"/>
  <c r="I107" i="5" s="1"/>
  <c r="J106" i="5"/>
  <c r="G105" i="5"/>
  <c r="I105" i="5" s="1"/>
  <c r="J104" i="5"/>
  <c r="G98" i="5"/>
  <c r="I98" i="5" s="1"/>
  <c r="J97" i="5"/>
  <c r="G96" i="5"/>
  <c r="I96" i="5" s="1"/>
  <c r="J95" i="5"/>
  <c r="G94" i="5"/>
  <c r="I94" i="5" s="1"/>
  <c r="J93" i="5"/>
  <c r="G93" i="5"/>
  <c r="I93" i="5" s="1"/>
  <c r="J92" i="5"/>
  <c r="G92" i="5"/>
  <c r="I92" i="5" s="1"/>
  <c r="J91" i="5"/>
  <c r="G91" i="5"/>
  <c r="I91" i="5" s="1"/>
  <c r="G86" i="5"/>
  <c r="I86" i="5" s="1"/>
  <c r="J85" i="5"/>
  <c r="G85" i="5"/>
  <c r="I85" i="5" s="1"/>
  <c r="J84" i="5"/>
  <c r="G84" i="5"/>
  <c r="J83" i="5"/>
  <c r="I83" i="5" s="1"/>
  <c r="G83" i="5"/>
  <c r="J82" i="5"/>
  <c r="G82" i="5"/>
  <c r="I82" i="5" s="1"/>
  <c r="G77" i="5"/>
  <c r="I77" i="5" s="1"/>
  <c r="J76" i="5"/>
  <c r="G76" i="5"/>
  <c r="I76" i="5" s="1"/>
  <c r="J75" i="5"/>
  <c r="G75" i="5"/>
  <c r="I75" i="5" s="1"/>
  <c r="J74" i="5"/>
  <c r="G74" i="5"/>
  <c r="I74" i="5" s="1"/>
  <c r="G174" i="5"/>
  <c r="I174" i="5" s="1"/>
  <c r="J164" i="5"/>
  <c r="G163" i="5"/>
  <c r="I163" i="5" s="1"/>
  <c r="J157" i="5"/>
  <c r="G156" i="5"/>
  <c r="I156" i="5" s="1"/>
  <c r="G149" i="5"/>
  <c r="I149" i="5" s="1"/>
  <c r="J148" i="5"/>
  <c r="G147" i="5"/>
  <c r="I147" i="5" s="1"/>
  <c r="J146" i="5"/>
  <c r="G140" i="5"/>
  <c r="I140" i="5" s="1"/>
  <c r="J139" i="5"/>
  <c r="G138" i="5"/>
  <c r="I138" i="5" s="1"/>
  <c r="G131" i="5"/>
  <c r="I131" i="5" s="1"/>
  <c r="J130" i="5"/>
  <c r="G129" i="5"/>
  <c r="I129" i="5" s="1"/>
  <c r="G124" i="5"/>
  <c r="I124" i="5" s="1"/>
  <c r="J123" i="5"/>
  <c r="G122" i="5"/>
  <c r="I122" i="5" s="1"/>
  <c r="J121" i="5"/>
  <c r="G115" i="5"/>
  <c r="I115" i="5" s="1"/>
  <c r="J114" i="5"/>
  <c r="G113" i="5"/>
  <c r="I113" i="5" s="1"/>
  <c r="J112" i="5"/>
  <c r="G106" i="5"/>
  <c r="I106" i="5" s="1"/>
  <c r="J105" i="5"/>
  <c r="G104" i="5"/>
  <c r="I104" i="5" s="1"/>
  <c r="G97" i="5"/>
  <c r="I97" i="5" s="1"/>
  <c r="J96" i="5"/>
  <c r="G95" i="5"/>
  <c r="I95" i="5" s="1"/>
  <c r="G90" i="5"/>
  <c r="I90" i="5" s="1"/>
  <c r="J89" i="5"/>
  <c r="G89" i="5"/>
  <c r="I89" i="5" s="1"/>
  <c r="J88" i="5"/>
  <c r="G88" i="5"/>
  <c r="I88" i="5" s="1"/>
  <c r="J87" i="5"/>
  <c r="G87" i="5"/>
  <c r="I87" i="5" s="1"/>
  <c r="G81" i="5"/>
  <c r="I81" i="5" s="1"/>
  <c r="J80" i="5"/>
  <c r="G80" i="5"/>
  <c r="I80" i="5" s="1"/>
  <c r="J79" i="5"/>
  <c r="G79" i="5"/>
  <c r="I79" i="5" s="1"/>
  <c r="J78" i="5"/>
  <c r="G78" i="5"/>
  <c r="I78" i="5" s="1"/>
  <c r="G73" i="5"/>
  <c r="I73" i="5" s="1"/>
  <c r="J72" i="5"/>
  <c r="G72" i="5"/>
  <c r="I72" i="5" s="1"/>
  <c r="J71" i="5"/>
  <c r="G71" i="5"/>
  <c r="I71" i="5" s="1"/>
  <c r="J70" i="5"/>
  <c r="G70" i="5"/>
  <c r="I70" i="5" s="1"/>
  <c r="G64" i="5"/>
  <c r="I64" i="5" s="1"/>
  <c r="J63" i="5"/>
  <c r="G63" i="5"/>
  <c r="I63" i="5" s="1"/>
  <c r="J62" i="5"/>
  <c r="G62" i="5"/>
  <c r="I62" i="5" s="1"/>
  <c r="J61" i="5"/>
  <c r="G61" i="5"/>
  <c r="I61" i="5" s="1"/>
  <c r="G56" i="5"/>
  <c r="I56" i="5" s="1"/>
  <c r="J55" i="5"/>
  <c r="G55" i="5"/>
  <c r="I55" i="5" s="1"/>
  <c r="J54" i="5"/>
  <c r="G54" i="5"/>
  <c r="I54" i="5" s="1"/>
  <c r="J53" i="5"/>
  <c r="G53" i="5"/>
  <c r="I53" i="5" s="1"/>
  <c r="G47" i="5"/>
  <c r="I47" i="5" s="1"/>
  <c r="J46" i="5"/>
  <c r="G46" i="5"/>
  <c r="I46" i="5" s="1"/>
  <c r="J45" i="5"/>
  <c r="G45" i="5"/>
  <c r="I45" i="5" s="1"/>
  <c r="J44" i="5"/>
  <c r="G44" i="5"/>
  <c r="I44" i="5" s="1"/>
  <c r="G39" i="5"/>
  <c r="I39" i="5" s="1"/>
  <c r="J38" i="5"/>
  <c r="G38" i="5"/>
  <c r="I38" i="5" s="1"/>
  <c r="J37" i="5"/>
  <c r="G37" i="5"/>
  <c r="I37" i="5" s="1"/>
  <c r="J36" i="5"/>
  <c r="G36" i="5"/>
  <c r="I36" i="5" s="1"/>
  <c r="G30" i="5"/>
  <c r="I30" i="5" s="1"/>
  <c r="J29" i="5"/>
  <c r="G29" i="5"/>
  <c r="I29" i="5" s="1"/>
  <c r="J28" i="5"/>
  <c r="G28" i="5"/>
  <c r="I28" i="5" s="1"/>
  <c r="J27" i="5"/>
  <c r="G27" i="5"/>
  <c r="I27" i="5" s="1"/>
  <c r="G22" i="5"/>
  <c r="I22" i="5" s="1"/>
  <c r="J21" i="5"/>
  <c r="G21" i="5"/>
  <c r="I21" i="5" s="1"/>
  <c r="J20" i="5"/>
  <c r="G20" i="5"/>
  <c r="I20" i="5" s="1"/>
  <c r="J19" i="5"/>
  <c r="G19" i="5"/>
  <c r="I19" i="5" s="1"/>
  <c r="G13" i="5"/>
  <c r="I13" i="5" s="1"/>
  <c r="J12" i="5"/>
  <c r="G12" i="5"/>
  <c r="I12" i="5" s="1"/>
  <c r="J11" i="5"/>
  <c r="G11" i="5"/>
  <c r="I11" i="5" s="1"/>
  <c r="J10" i="5"/>
  <c r="G10" i="5"/>
  <c r="I10" i="5" s="1"/>
  <c r="G5" i="5"/>
  <c r="I5" i="5" s="1"/>
  <c r="J4" i="5"/>
  <c r="G4" i="5"/>
  <c r="I4" i="5" s="1"/>
  <c r="J3" i="5"/>
  <c r="G3" i="5"/>
  <c r="I3" i="5" s="1"/>
  <c r="J2" i="5"/>
  <c r="G2" i="5"/>
  <c r="I2" i="5" s="1"/>
  <c r="G251" i="4"/>
  <c r="I251" i="4" s="1"/>
  <c r="J250" i="4"/>
  <c r="G250" i="4"/>
  <c r="I250" i="4" s="1"/>
  <c r="J249" i="4"/>
  <c r="G249" i="4"/>
  <c r="I249" i="4" s="1"/>
  <c r="J248" i="4"/>
  <c r="G248" i="4"/>
  <c r="I248" i="4" s="1"/>
  <c r="G243" i="4"/>
  <c r="I243" i="4" s="1"/>
  <c r="J242" i="4"/>
  <c r="G242" i="4"/>
  <c r="I242" i="4" s="1"/>
  <c r="J241" i="4"/>
  <c r="G241" i="4"/>
  <c r="I241" i="4" s="1"/>
  <c r="J240" i="4"/>
  <c r="G240" i="4"/>
  <c r="I240" i="4" s="1"/>
  <c r="G234" i="4"/>
  <c r="I234" i="4" s="1"/>
  <c r="J233" i="4"/>
  <c r="G233" i="4"/>
  <c r="I233" i="4" s="1"/>
  <c r="J232" i="4"/>
  <c r="G232" i="4"/>
  <c r="I232" i="4" s="1"/>
  <c r="J231" i="4"/>
  <c r="G231" i="4"/>
  <c r="I231" i="4" s="1"/>
  <c r="G226" i="4"/>
  <c r="I226" i="4" s="1"/>
  <c r="J225" i="4"/>
  <c r="G225" i="4"/>
  <c r="I225" i="4" s="1"/>
  <c r="J224" i="4"/>
  <c r="G224" i="4"/>
  <c r="I224" i="4" s="1"/>
  <c r="J223" i="4"/>
  <c r="G223" i="4"/>
  <c r="I223" i="4" s="1"/>
  <c r="G217" i="4"/>
  <c r="I217" i="4" s="1"/>
  <c r="J216" i="4"/>
  <c r="G216" i="4"/>
  <c r="I216" i="4" s="1"/>
  <c r="J215" i="4"/>
  <c r="G215" i="4"/>
  <c r="I215" i="4" s="1"/>
  <c r="J214" i="4"/>
  <c r="G214" i="4"/>
  <c r="I214" i="4" s="1"/>
  <c r="G69" i="5"/>
  <c r="I69" i="5" s="1"/>
  <c r="J68" i="5"/>
  <c r="G68" i="5"/>
  <c r="I68" i="5" s="1"/>
  <c r="J67" i="5"/>
  <c r="G67" i="5"/>
  <c r="J66" i="5"/>
  <c r="I66" i="5" s="1"/>
  <c r="G66" i="5"/>
  <c r="J65" i="5"/>
  <c r="G65" i="5"/>
  <c r="I65" i="5" s="1"/>
  <c r="G60" i="5"/>
  <c r="I60" i="5" s="1"/>
  <c r="J59" i="5"/>
  <c r="G59" i="5"/>
  <c r="I59" i="5" s="1"/>
  <c r="J58" i="5"/>
  <c r="G58" i="5"/>
  <c r="I58" i="5" s="1"/>
  <c r="J57" i="5"/>
  <c r="G57" i="5"/>
  <c r="I57" i="5" s="1"/>
  <c r="G52" i="5"/>
  <c r="I52" i="5" s="1"/>
  <c r="J51" i="5"/>
  <c r="G51" i="5"/>
  <c r="I51" i="5" s="1"/>
  <c r="J50" i="5"/>
  <c r="G50" i="5"/>
  <c r="J49" i="5"/>
  <c r="I49" i="5" s="1"/>
  <c r="G49" i="5"/>
  <c r="J48" i="5"/>
  <c r="G48" i="5"/>
  <c r="I48" i="5" s="1"/>
  <c r="G43" i="5"/>
  <c r="I43" i="5" s="1"/>
  <c r="J42" i="5"/>
  <c r="G42" i="5"/>
  <c r="I42" i="5" s="1"/>
  <c r="J41" i="5"/>
  <c r="G41" i="5"/>
  <c r="I41" i="5" s="1"/>
  <c r="J40" i="5"/>
  <c r="G40" i="5"/>
  <c r="I40" i="5" s="1"/>
  <c r="G35" i="5"/>
  <c r="I35" i="5" s="1"/>
  <c r="J34" i="5"/>
  <c r="G34" i="5"/>
  <c r="I34" i="5" s="1"/>
  <c r="J33" i="5"/>
  <c r="G33" i="5"/>
  <c r="J32" i="5"/>
  <c r="I32" i="5" s="1"/>
  <c r="G32" i="5"/>
  <c r="J31" i="5"/>
  <c r="G31" i="5"/>
  <c r="I31" i="5" s="1"/>
  <c r="G26" i="5"/>
  <c r="I26" i="5" s="1"/>
  <c r="J25" i="5"/>
  <c r="G25" i="5"/>
  <c r="I25" i="5" s="1"/>
  <c r="J24" i="5"/>
  <c r="G24" i="5"/>
  <c r="I24" i="5" s="1"/>
  <c r="J23" i="5"/>
  <c r="G23" i="5"/>
  <c r="I23" i="5" s="1"/>
  <c r="G18" i="5"/>
  <c r="I18" i="5" s="1"/>
  <c r="J17" i="5"/>
  <c r="G17" i="5"/>
  <c r="I17" i="5" s="1"/>
  <c r="J16" i="5"/>
  <c r="G16" i="5"/>
  <c r="J15" i="5"/>
  <c r="I15" i="5" s="1"/>
  <c r="G15" i="5"/>
  <c r="J14" i="5"/>
  <c r="G14" i="5"/>
  <c r="I14" i="5" s="1"/>
  <c r="G9" i="5"/>
  <c r="I9" i="5" s="1"/>
  <c r="J8" i="5"/>
  <c r="G8" i="5"/>
  <c r="I8" i="5" s="1"/>
  <c r="J7" i="5"/>
  <c r="G7" i="5"/>
  <c r="I7" i="5" s="1"/>
  <c r="J6" i="5"/>
  <c r="G6" i="5"/>
  <c r="I6" i="5" s="1"/>
  <c r="G256" i="4"/>
  <c r="I256" i="4" s="1"/>
  <c r="J255" i="4"/>
  <c r="G255" i="4"/>
  <c r="I255" i="4" s="1"/>
  <c r="J254" i="4"/>
  <c r="G254" i="4"/>
  <c r="J253" i="4"/>
  <c r="I253" i="4" s="1"/>
  <c r="G253" i="4"/>
  <c r="J252" i="4"/>
  <c r="G252" i="4"/>
  <c r="I252" i="4" s="1"/>
  <c r="G247" i="4"/>
  <c r="I247" i="4" s="1"/>
  <c r="J246" i="4"/>
  <c r="G246" i="4"/>
  <c r="I246" i="4" s="1"/>
  <c r="J245" i="4"/>
  <c r="G245" i="4"/>
  <c r="I245" i="4" s="1"/>
  <c r="J244" i="4"/>
  <c r="G244" i="4"/>
  <c r="I244" i="4" s="1"/>
  <c r="G239" i="4"/>
  <c r="I239" i="4" s="1"/>
  <c r="J238" i="4"/>
  <c r="G238" i="4"/>
  <c r="I238" i="4" s="1"/>
  <c r="J237" i="4"/>
  <c r="G237" i="4"/>
  <c r="J236" i="4"/>
  <c r="I236" i="4" s="1"/>
  <c r="G236" i="4"/>
  <c r="J235" i="4"/>
  <c r="G235" i="4"/>
  <c r="I235" i="4" s="1"/>
  <c r="G230" i="4"/>
  <c r="I230" i="4" s="1"/>
  <c r="J229" i="4"/>
  <c r="G229" i="4"/>
  <c r="I229" i="4" s="1"/>
  <c r="J228" i="4"/>
  <c r="G228" i="4"/>
  <c r="I228" i="4" s="1"/>
  <c r="J227" i="4"/>
  <c r="G227" i="4"/>
  <c r="I227" i="4" s="1"/>
  <c r="G222" i="4"/>
  <c r="I222" i="4" s="1"/>
  <c r="J221" i="4"/>
  <c r="G221" i="4"/>
  <c r="I221" i="4" s="1"/>
  <c r="J220" i="4"/>
  <c r="G220" i="4"/>
  <c r="J219" i="4"/>
  <c r="I219" i="4" s="1"/>
  <c r="G219" i="4"/>
  <c r="J218" i="4"/>
  <c r="G218" i="4"/>
  <c r="I218" i="4" s="1"/>
  <c r="G213" i="4"/>
  <c r="I213" i="4" s="1"/>
  <c r="J212" i="4"/>
  <c r="G212" i="4"/>
  <c r="I212" i="4" s="1"/>
  <c r="J211" i="4"/>
  <c r="G211" i="4"/>
  <c r="I211" i="4" s="1"/>
  <c r="J210" i="4"/>
  <c r="G210" i="4"/>
  <c r="I210" i="4" s="1"/>
  <c r="G208" i="4"/>
  <c r="I208" i="4" s="1"/>
  <c r="J207" i="4"/>
  <c r="G207" i="4"/>
  <c r="I207" i="4" s="1"/>
  <c r="J206" i="4"/>
  <c r="G206" i="4"/>
  <c r="I206" i="4" s="1"/>
  <c r="G200" i="4"/>
  <c r="I200" i="4" s="1"/>
  <c r="J199" i="4"/>
  <c r="G199" i="4"/>
  <c r="I199" i="4" s="1"/>
  <c r="J198" i="4"/>
  <c r="G198" i="4"/>
  <c r="I198" i="4" s="1"/>
  <c r="J197" i="4"/>
  <c r="G197" i="4"/>
  <c r="I197" i="4" s="1"/>
  <c r="G192" i="4"/>
  <c r="I192" i="4" s="1"/>
  <c r="J191" i="4"/>
  <c r="G191" i="4"/>
  <c r="I191" i="4" s="1"/>
  <c r="J190" i="4"/>
  <c r="G190" i="4"/>
  <c r="I190" i="4" s="1"/>
  <c r="J189" i="4"/>
  <c r="G189" i="4"/>
  <c r="I189" i="4" s="1"/>
  <c r="G183" i="4"/>
  <c r="I183" i="4" s="1"/>
  <c r="J182" i="4"/>
  <c r="G182" i="4"/>
  <c r="I182" i="4" s="1"/>
  <c r="J181" i="4"/>
  <c r="G181" i="4"/>
  <c r="I181" i="4" s="1"/>
  <c r="J180" i="4"/>
  <c r="G180" i="4"/>
  <c r="I180" i="4" s="1"/>
  <c r="G175" i="4"/>
  <c r="I175" i="4" s="1"/>
  <c r="J174" i="4"/>
  <c r="G174" i="4"/>
  <c r="I174" i="4" s="1"/>
  <c r="J173" i="4"/>
  <c r="G173" i="4"/>
  <c r="I173" i="4" s="1"/>
  <c r="J172" i="4"/>
  <c r="G172" i="4"/>
  <c r="I172" i="4" s="1"/>
  <c r="G166" i="4"/>
  <c r="I166" i="4" s="1"/>
  <c r="J165" i="4"/>
  <c r="G165" i="4"/>
  <c r="I165" i="4" s="1"/>
  <c r="J164" i="4"/>
  <c r="G164" i="4"/>
  <c r="I164" i="4" s="1"/>
  <c r="J163" i="4"/>
  <c r="G163" i="4"/>
  <c r="I163" i="4" s="1"/>
  <c r="G158" i="4"/>
  <c r="I158" i="4" s="1"/>
  <c r="J157" i="4"/>
  <c r="G157" i="4"/>
  <c r="I157" i="4" s="1"/>
  <c r="J156" i="4"/>
  <c r="G156" i="4"/>
  <c r="I156" i="4" s="1"/>
  <c r="J155" i="4"/>
  <c r="G155" i="4"/>
  <c r="I155" i="4" s="1"/>
  <c r="G149" i="4"/>
  <c r="I149" i="4" s="1"/>
  <c r="J148" i="4"/>
  <c r="G148" i="4"/>
  <c r="I148" i="4" s="1"/>
  <c r="J147" i="4"/>
  <c r="G147" i="4"/>
  <c r="I147" i="4" s="1"/>
  <c r="J146" i="4"/>
  <c r="G146" i="4"/>
  <c r="I146" i="4" s="1"/>
  <c r="G141" i="4"/>
  <c r="I141" i="4" s="1"/>
  <c r="J140" i="4"/>
  <c r="G140" i="4"/>
  <c r="I140" i="4" s="1"/>
  <c r="J139" i="4"/>
  <c r="G139" i="4"/>
  <c r="I139" i="4" s="1"/>
  <c r="J138" i="4"/>
  <c r="G138" i="4"/>
  <c r="I138" i="4" s="1"/>
  <c r="G132" i="4"/>
  <c r="I132" i="4" s="1"/>
  <c r="J131" i="4"/>
  <c r="G131" i="4"/>
  <c r="I131" i="4" s="1"/>
  <c r="J130" i="4"/>
  <c r="G130" i="4"/>
  <c r="I130" i="4" s="1"/>
  <c r="J129" i="4"/>
  <c r="G129" i="4"/>
  <c r="I129" i="4" s="1"/>
  <c r="G124" i="4"/>
  <c r="I124" i="4" s="1"/>
  <c r="J123" i="4"/>
  <c r="G123" i="4"/>
  <c r="I123" i="4" s="1"/>
  <c r="J122" i="4"/>
  <c r="G122" i="4"/>
  <c r="I122" i="4" s="1"/>
  <c r="J121" i="4"/>
  <c r="G121" i="4"/>
  <c r="I121" i="4" s="1"/>
  <c r="G115" i="4"/>
  <c r="I115" i="4" s="1"/>
  <c r="J114" i="4"/>
  <c r="G114" i="4"/>
  <c r="I114" i="4" s="1"/>
  <c r="J113" i="4"/>
  <c r="G113" i="4"/>
  <c r="I113" i="4" s="1"/>
  <c r="J112" i="4"/>
  <c r="G112" i="4"/>
  <c r="I112" i="4" s="1"/>
  <c r="G107" i="4"/>
  <c r="I107" i="4" s="1"/>
  <c r="J106" i="4"/>
  <c r="G106" i="4"/>
  <c r="I106" i="4" s="1"/>
  <c r="J105" i="4"/>
  <c r="G105" i="4"/>
  <c r="I105" i="4" s="1"/>
  <c r="J104" i="4"/>
  <c r="G104" i="4"/>
  <c r="I104" i="4" s="1"/>
  <c r="G98" i="4"/>
  <c r="I98" i="4" s="1"/>
  <c r="J97" i="4"/>
  <c r="G97" i="4"/>
  <c r="I97" i="4" s="1"/>
  <c r="J96" i="4"/>
  <c r="G96" i="4"/>
  <c r="I96" i="4" s="1"/>
  <c r="J95" i="4"/>
  <c r="G95" i="4"/>
  <c r="I95" i="4" s="1"/>
  <c r="G90" i="4"/>
  <c r="I90" i="4" s="1"/>
  <c r="J89" i="4"/>
  <c r="G89" i="4"/>
  <c r="I89" i="4" s="1"/>
  <c r="J88" i="4"/>
  <c r="G88" i="4"/>
  <c r="I88" i="4" s="1"/>
  <c r="J87" i="4"/>
  <c r="G87" i="4"/>
  <c r="I87" i="4" s="1"/>
  <c r="G81" i="4"/>
  <c r="I81" i="4" s="1"/>
  <c r="J80" i="4"/>
  <c r="G80" i="4"/>
  <c r="I80" i="4" s="1"/>
  <c r="J79" i="4"/>
  <c r="G79" i="4"/>
  <c r="I79" i="4" s="1"/>
  <c r="J78" i="4"/>
  <c r="G78" i="4"/>
  <c r="I78" i="4" s="1"/>
  <c r="G73" i="4"/>
  <c r="I73" i="4" s="1"/>
  <c r="J72" i="4"/>
  <c r="G72" i="4"/>
  <c r="I72" i="4" s="1"/>
  <c r="J71" i="4"/>
  <c r="G71" i="4"/>
  <c r="I71" i="4" s="1"/>
  <c r="J70" i="4"/>
  <c r="G70" i="4"/>
  <c r="I70" i="4" s="1"/>
  <c r="G64" i="4"/>
  <c r="I64" i="4" s="1"/>
  <c r="J63" i="4"/>
  <c r="G63" i="4"/>
  <c r="I63" i="4" s="1"/>
  <c r="J62" i="4"/>
  <c r="G62" i="4"/>
  <c r="I62" i="4" s="1"/>
  <c r="J61" i="4"/>
  <c r="G61" i="4"/>
  <c r="I61" i="4" s="1"/>
  <c r="G56" i="4"/>
  <c r="I56" i="4" s="1"/>
  <c r="J55" i="4"/>
  <c r="G55" i="4"/>
  <c r="I55" i="4" s="1"/>
  <c r="J54" i="4"/>
  <c r="G54" i="4"/>
  <c r="I54" i="4" s="1"/>
  <c r="J53" i="4"/>
  <c r="G53" i="4"/>
  <c r="I53" i="4" s="1"/>
  <c r="G47" i="4"/>
  <c r="I47" i="4" s="1"/>
  <c r="J46" i="4"/>
  <c r="G46" i="4"/>
  <c r="I46" i="4" s="1"/>
  <c r="J45" i="4"/>
  <c r="G45" i="4"/>
  <c r="I45" i="4" s="1"/>
  <c r="J44" i="4"/>
  <c r="G44" i="4"/>
  <c r="I44" i="4" s="1"/>
  <c r="G39" i="4"/>
  <c r="I39" i="4" s="1"/>
  <c r="J38" i="4"/>
  <c r="G38" i="4"/>
  <c r="I38" i="4" s="1"/>
  <c r="J37" i="4"/>
  <c r="G37" i="4"/>
  <c r="I37" i="4" s="1"/>
  <c r="J36" i="4"/>
  <c r="G36" i="4"/>
  <c r="I36" i="4" s="1"/>
  <c r="G30" i="4"/>
  <c r="I30" i="4" s="1"/>
  <c r="J29" i="4"/>
  <c r="G29" i="4"/>
  <c r="I29" i="4" s="1"/>
  <c r="J28" i="4"/>
  <c r="G28" i="4"/>
  <c r="I28" i="4" s="1"/>
  <c r="J27" i="4"/>
  <c r="G27" i="4"/>
  <c r="I27" i="4" s="1"/>
  <c r="G22" i="4"/>
  <c r="I22" i="4" s="1"/>
  <c r="J21" i="4"/>
  <c r="G21" i="4"/>
  <c r="I21" i="4" s="1"/>
  <c r="J20" i="4"/>
  <c r="G20" i="4"/>
  <c r="I20" i="4" s="1"/>
  <c r="J19" i="4"/>
  <c r="G19" i="4"/>
  <c r="I19" i="4" s="1"/>
  <c r="G13" i="4"/>
  <c r="I13" i="4" s="1"/>
  <c r="J12" i="4"/>
  <c r="G12" i="4"/>
  <c r="I12" i="4" s="1"/>
  <c r="J11" i="4"/>
  <c r="G11" i="4"/>
  <c r="I11" i="4" s="1"/>
  <c r="J10" i="4"/>
  <c r="G10" i="4"/>
  <c r="I10" i="4" s="1"/>
  <c r="G5" i="4"/>
  <c r="I5" i="4" s="1"/>
  <c r="J4" i="4"/>
  <c r="G4" i="4"/>
  <c r="I4" i="4" s="1"/>
  <c r="J3" i="4"/>
  <c r="G3" i="4"/>
  <c r="I3" i="4" s="1"/>
  <c r="J2" i="4"/>
  <c r="G2" i="4"/>
  <c r="I2" i="4" s="1"/>
  <c r="G209" i="4"/>
  <c r="I209" i="4" s="1"/>
  <c r="J208" i="4"/>
  <c r="G205" i="4"/>
  <c r="I205" i="4" s="1"/>
  <c r="J204" i="4"/>
  <c r="G204" i="4"/>
  <c r="I204" i="4" s="1"/>
  <c r="J203" i="4"/>
  <c r="G203" i="4"/>
  <c r="J202" i="4"/>
  <c r="I202" i="4" s="1"/>
  <c r="G202" i="4"/>
  <c r="J201" i="4"/>
  <c r="G201" i="4"/>
  <c r="I201" i="4" s="1"/>
  <c r="G196" i="4"/>
  <c r="I196" i="4" s="1"/>
  <c r="J195" i="4"/>
  <c r="G195" i="4"/>
  <c r="I195" i="4" s="1"/>
  <c r="J194" i="4"/>
  <c r="G194" i="4"/>
  <c r="I194" i="4" s="1"/>
  <c r="J193" i="4"/>
  <c r="G193" i="4"/>
  <c r="I193" i="4" s="1"/>
  <c r="G188" i="4"/>
  <c r="I188" i="4" s="1"/>
  <c r="J187" i="4"/>
  <c r="G187" i="4"/>
  <c r="I187" i="4" s="1"/>
  <c r="J186" i="4"/>
  <c r="G186" i="4"/>
  <c r="J185" i="4"/>
  <c r="I185" i="4" s="1"/>
  <c r="G185" i="4"/>
  <c r="J184" i="4"/>
  <c r="G184" i="4"/>
  <c r="I184" i="4" s="1"/>
  <c r="G179" i="4"/>
  <c r="I179" i="4" s="1"/>
  <c r="J178" i="4"/>
  <c r="G178" i="4"/>
  <c r="I178" i="4" s="1"/>
  <c r="J177" i="4"/>
  <c r="G177" i="4"/>
  <c r="I177" i="4" s="1"/>
  <c r="J176" i="4"/>
  <c r="G176" i="4"/>
  <c r="I176" i="4" s="1"/>
  <c r="G171" i="4"/>
  <c r="I171" i="4" s="1"/>
  <c r="J170" i="4"/>
  <c r="G170" i="4"/>
  <c r="I170" i="4" s="1"/>
  <c r="J169" i="4"/>
  <c r="G169" i="4"/>
  <c r="J168" i="4"/>
  <c r="I168" i="4" s="1"/>
  <c r="G168" i="4"/>
  <c r="J167" i="4"/>
  <c r="G167" i="4"/>
  <c r="I167" i="4" s="1"/>
  <c r="G162" i="4"/>
  <c r="I162" i="4" s="1"/>
  <c r="J161" i="4"/>
  <c r="G161" i="4"/>
  <c r="I161" i="4" s="1"/>
  <c r="J160" i="4"/>
  <c r="G160" i="4"/>
  <c r="I160" i="4" s="1"/>
  <c r="J159" i="4"/>
  <c r="G159" i="4"/>
  <c r="I159" i="4" s="1"/>
  <c r="G154" i="4"/>
  <c r="I154" i="4" s="1"/>
  <c r="J153" i="4"/>
  <c r="G153" i="4"/>
  <c r="I153" i="4" s="1"/>
  <c r="J152" i="4"/>
  <c r="G152" i="4"/>
  <c r="J151" i="4"/>
  <c r="I151" i="4" s="1"/>
  <c r="G151" i="4"/>
  <c r="J150" i="4"/>
  <c r="G150" i="4"/>
  <c r="I150" i="4" s="1"/>
  <c r="G145" i="4"/>
  <c r="I145" i="4" s="1"/>
  <c r="J144" i="4"/>
  <c r="G144" i="4"/>
  <c r="I144" i="4" s="1"/>
  <c r="J143" i="4"/>
  <c r="G143" i="4"/>
  <c r="I143" i="4" s="1"/>
  <c r="J142" i="4"/>
  <c r="G142" i="4"/>
  <c r="I142" i="4" s="1"/>
  <c r="G137" i="4"/>
  <c r="I137" i="4" s="1"/>
  <c r="J136" i="4"/>
  <c r="G136" i="4"/>
  <c r="I136" i="4" s="1"/>
  <c r="J135" i="4"/>
  <c r="G135" i="4"/>
  <c r="J134" i="4"/>
  <c r="I134" i="4" s="1"/>
  <c r="G134" i="4"/>
  <c r="J133" i="4"/>
  <c r="G133" i="4"/>
  <c r="I133" i="4" s="1"/>
  <c r="G128" i="4"/>
  <c r="I128" i="4" s="1"/>
  <c r="J127" i="4"/>
  <c r="G127" i="4"/>
  <c r="I127" i="4" s="1"/>
  <c r="J126" i="4"/>
  <c r="G126" i="4"/>
  <c r="I126" i="4" s="1"/>
  <c r="J125" i="4"/>
  <c r="G125" i="4"/>
  <c r="I125" i="4" s="1"/>
  <c r="G120" i="4"/>
  <c r="I120" i="4" s="1"/>
  <c r="J119" i="4"/>
  <c r="G119" i="4"/>
  <c r="I119" i="4" s="1"/>
  <c r="J118" i="4"/>
  <c r="G118" i="4"/>
  <c r="J117" i="4"/>
  <c r="I117" i="4" s="1"/>
  <c r="G117" i="4"/>
  <c r="J116" i="4"/>
  <c r="G116" i="4"/>
  <c r="I116" i="4" s="1"/>
  <c r="G111" i="4"/>
  <c r="I111" i="4" s="1"/>
  <c r="J110" i="4"/>
  <c r="G110" i="4"/>
  <c r="I110" i="4" s="1"/>
  <c r="J109" i="4"/>
  <c r="G109" i="4"/>
  <c r="I109" i="4" s="1"/>
  <c r="J108" i="4"/>
  <c r="G108" i="4"/>
  <c r="I108" i="4" s="1"/>
  <c r="G103" i="4"/>
  <c r="I103" i="4" s="1"/>
  <c r="J102" i="4"/>
  <c r="G102" i="4"/>
  <c r="I102" i="4" s="1"/>
  <c r="J101" i="4"/>
  <c r="G101" i="4"/>
  <c r="J100" i="4"/>
  <c r="I100" i="4" s="1"/>
  <c r="G100" i="4"/>
  <c r="J99" i="4"/>
  <c r="G99" i="4"/>
  <c r="I99" i="4" s="1"/>
  <c r="G94" i="4"/>
  <c r="I94" i="4" s="1"/>
  <c r="J93" i="4"/>
  <c r="G93" i="4"/>
  <c r="I93" i="4" s="1"/>
  <c r="J92" i="4"/>
  <c r="G92" i="4"/>
  <c r="I92" i="4" s="1"/>
  <c r="J91" i="4"/>
  <c r="G91" i="4"/>
  <c r="I91" i="4" s="1"/>
  <c r="G86" i="4"/>
  <c r="I86" i="4" s="1"/>
  <c r="J85" i="4"/>
  <c r="G85" i="4"/>
  <c r="I85" i="4" s="1"/>
  <c r="J84" i="4"/>
  <c r="G84" i="4"/>
  <c r="J83" i="4"/>
  <c r="I83" i="4" s="1"/>
  <c r="G83" i="4"/>
  <c r="J82" i="4"/>
  <c r="G82" i="4"/>
  <c r="I82" i="4" s="1"/>
  <c r="G77" i="4"/>
  <c r="I77" i="4" s="1"/>
  <c r="J76" i="4"/>
  <c r="G76" i="4"/>
  <c r="I76" i="4" s="1"/>
  <c r="J75" i="4"/>
  <c r="G75" i="4"/>
  <c r="I75" i="4" s="1"/>
  <c r="J74" i="4"/>
  <c r="G74" i="4"/>
  <c r="I74" i="4" s="1"/>
  <c r="G69" i="4"/>
  <c r="I69" i="4" s="1"/>
  <c r="J68" i="4"/>
  <c r="G68" i="4"/>
  <c r="I68" i="4" s="1"/>
  <c r="J67" i="4"/>
  <c r="G67" i="4"/>
  <c r="J66" i="4"/>
  <c r="I66" i="4" s="1"/>
  <c r="G66" i="4"/>
  <c r="J65" i="4"/>
  <c r="G65" i="4"/>
  <c r="I65" i="4" s="1"/>
  <c r="G60" i="4"/>
  <c r="I60" i="4" s="1"/>
  <c r="J59" i="4"/>
  <c r="G59" i="4"/>
  <c r="I59" i="4" s="1"/>
  <c r="J58" i="4"/>
  <c r="G58" i="4"/>
  <c r="I58" i="4" s="1"/>
  <c r="J57" i="4"/>
  <c r="G57" i="4"/>
  <c r="I57" i="4" s="1"/>
  <c r="G52" i="4"/>
  <c r="I52" i="4" s="1"/>
  <c r="J51" i="4"/>
  <c r="G51" i="4"/>
  <c r="I51" i="4" s="1"/>
  <c r="J50" i="4"/>
  <c r="G50" i="4"/>
  <c r="J49" i="4"/>
  <c r="I49" i="4" s="1"/>
  <c r="G49" i="4"/>
  <c r="J48" i="4"/>
  <c r="G48" i="4"/>
  <c r="I48" i="4" s="1"/>
  <c r="G43" i="4"/>
  <c r="I43" i="4" s="1"/>
  <c r="J42" i="4"/>
  <c r="G42" i="4"/>
  <c r="I42" i="4" s="1"/>
  <c r="J41" i="4"/>
  <c r="G41" i="4"/>
  <c r="I41" i="4" s="1"/>
  <c r="J40" i="4"/>
  <c r="G40" i="4"/>
  <c r="I40" i="4" s="1"/>
  <c r="G35" i="4"/>
  <c r="I35" i="4" s="1"/>
  <c r="J34" i="4"/>
  <c r="G34" i="4"/>
  <c r="I34" i="4" s="1"/>
  <c r="J33" i="4"/>
  <c r="G33" i="4"/>
  <c r="J32" i="4"/>
  <c r="I32" i="4" s="1"/>
  <c r="G32" i="4"/>
  <c r="J31" i="4"/>
  <c r="G31" i="4"/>
  <c r="I31" i="4" s="1"/>
  <c r="G26" i="4"/>
  <c r="I26" i="4" s="1"/>
  <c r="J25" i="4"/>
  <c r="G25" i="4"/>
  <c r="I25" i="4" s="1"/>
  <c r="J24" i="4"/>
  <c r="G24" i="4"/>
  <c r="I24" i="4" s="1"/>
  <c r="J23" i="4"/>
  <c r="G23" i="4"/>
  <c r="I23" i="4" s="1"/>
  <c r="G18" i="4"/>
  <c r="I18" i="4" s="1"/>
  <c r="J17" i="4"/>
  <c r="G17" i="4"/>
  <c r="I17" i="4" s="1"/>
  <c r="J16" i="4"/>
  <c r="G16" i="4"/>
  <c r="J15" i="4"/>
  <c r="I15" i="4" s="1"/>
  <c r="G15" i="4"/>
  <c r="J14" i="4"/>
  <c r="G14" i="4"/>
  <c r="I14" i="4" s="1"/>
  <c r="G9" i="4"/>
  <c r="I9" i="4" s="1"/>
  <c r="J8" i="4"/>
  <c r="G8" i="4"/>
  <c r="I8" i="4" s="1"/>
  <c r="J7" i="4"/>
  <c r="G7" i="4"/>
  <c r="I7" i="4" s="1"/>
  <c r="J6" i="4"/>
  <c r="G6" i="4"/>
  <c r="I6" i="4" s="1"/>
  <c r="D5" i="3"/>
  <c r="E5" i="3" s="1"/>
  <c r="G5" i="3"/>
  <c r="H5" i="3" s="1"/>
  <c r="B6" i="3"/>
  <c r="G7" i="3"/>
  <c r="E2" i="4"/>
  <c r="E3" i="4"/>
  <c r="E4" i="4"/>
  <c r="E5" i="4"/>
  <c r="E10" i="4"/>
  <c r="E11" i="4"/>
  <c r="E12" i="4"/>
  <c r="E13" i="4"/>
  <c r="E19" i="4"/>
  <c r="E20" i="4"/>
  <c r="E21" i="4"/>
  <c r="E22" i="4"/>
  <c r="E27" i="4"/>
  <c r="E28" i="4"/>
  <c r="E29" i="4"/>
  <c r="E30" i="4"/>
  <c r="E36" i="4"/>
  <c r="E37" i="4"/>
  <c r="E38" i="4"/>
  <c r="E39" i="4"/>
  <c r="E44" i="4"/>
  <c r="E45" i="4"/>
  <c r="E46" i="4"/>
  <c r="E47" i="4"/>
  <c r="E53" i="4"/>
  <c r="E54" i="4"/>
  <c r="E55" i="4"/>
  <c r="E56" i="4"/>
  <c r="E61" i="4"/>
  <c r="E62" i="4"/>
  <c r="E63" i="4"/>
  <c r="E64" i="4"/>
  <c r="E70" i="4"/>
  <c r="E71" i="4"/>
  <c r="E72" i="4"/>
  <c r="E73" i="4"/>
  <c r="E78" i="4"/>
  <c r="E79" i="4"/>
  <c r="E80" i="4"/>
  <c r="E81" i="4"/>
  <c r="E87" i="4"/>
  <c r="E88" i="4"/>
  <c r="E89" i="4"/>
  <c r="E90" i="4"/>
  <c r="E95" i="4"/>
  <c r="E96" i="4"/>
  <c r="E97" i="4"/>
  <c r="E98" i="4"/>
  <c r="E104" i="4"/>
  <c r="E105" i="4"/>
  <c r="E106" i="4"/>
  <c r="E107" i="4"/>
  <c r="E112" i="4"/>
  <c r="E113" i="4"/>
  <c r="E114" i="4"/>
  <c r="E115" i="4"/>
  <c r="E121" i="4"/>
  <c r="E122" i="4"/>
  <c r="E123" i="4"/>
  <c r="E124" i="4"/>
  <c r="E129" i="4"/>
  <c r="E130" i="4"/>
  <c r="E131" i="4"/>
  <c r="E132" i="4"/>
  <c r="E138" i="4"/>
  <c r="E139" i="4"/>
  <c r="E140" i="4"/>
  <c r="E141" i="4"/>
  <c r="E146" i="4"/>
  <c r="E147" i="4"/>
  <c r="E148" i="4"/>
  <c r="E149" i="4"/>
  <c r="E155" i="4"/>
  <c r="E156" i="4"/>
  <c r="E157" i="4"/>
  <c r="E158" i="4"/>
  <c r="E163" i="4"/>
  <c r="E164" i="4"/>
  <c r="E165" i="4"/>
  <c r="E166" i="4"/>
  <c r="E172" i="4"/>
  <c r="E173" i="4"/>
  <c r="E174" i="4"/>
  <c r="E175" i="4"/>
  <c r="E180" i="4"/>
  <c r="E181" i="4"/>
  <c r="E182" i="4"/>
  <c r="E183" i="4"/>
  <c r="E189" i="4"/>
  <c r="E190" i="4"/>
  <c r="E191" i="4"/>
  <c r="E192" i="4"/>
  <c r="E197" i="4"/>
  <c r="E198" i="4"/>
  <c r="E199" i="4"/>
  <c r="E200" i="4"/>
  <c r="E206" i="4"/>
  <c r="E207" i="4"/>
  <c r="E208" i="4"/>
  <c r="D3" i="3"/>
  <c r="E3" i="3" s="1"/>
  <c r="E256" i="5"/>
  <c r="E255" i="5"/>
  <c r="E254" i="5"/>
  <c r="E253" i="5"/>
  <c r="E252" i="5"/>
  <c r="E247" i="5"/>
  <c r="E246" i="5"/>
  <c r="E245" i="5"/>
  <c r="E244" i="5"/>
  <c r="E239" i="5"/>
  <c r="E238" i="5"/>
  <c r="E237" i="5"/>
  <c r="E236" i="5"/>
  <c r="E235" i="5"/>
  <c r="E230" i="5"/>
  <c r="E229" i="5"/>
  <c r="E228" i="5"/>
  <c r="E251" i="5"/>
  <c r="E249" i="5"/>
  <c r="E242" i="5"/>
  <c r="E240" i="5"/>
  <c r="E233" i="5"/>
  <c r="E231" i="5"/>
  <c r="E226" i="5"/>
  <c r="E225" i="5"/>
  <c r="E224" i="5"/>
  <c r="E223" i="5"/>
  <c r="E217" i="5"/>
  <c r="E216" i="5"/>
  <c r="E215" i="5"/>
  <c r="E214" i="5"/>
  <c r="E209" i="5"/>
  <c r="E208" i="5"/>
  <c r="E207" i="5"/>
  <c r="E206" i="5"/>
  <c r="E200" i="5"/>
  <c r="E199" i="5"/>
  <c r="E198" i="5"/>
  <c r="E197" i="5"/>
  <c r="E192" i="5"/>
  <c r="E191" i="5"/>
  <c r="E190" i="5"/>
  <c r="E189" i="5"/>
  <c r="E248" i="5"/>
  <c r="E241" i="5"/>
  <c r="E234" i="5"/>
  <c r="E221" i="5"/>
  <c r="E219" i="5"/>
  <c r="E212" i="5"/>
  <c r="E210" i="5"/>
  <c r="E205" i="5"/>
  <c r="E203" i="5"/>
  <c r="E201" i="5"/>
  <c r="E196" i="5"/>
  <c r="E194" i="5"/>
  <c r="E187" i="5"/>
  <c r="E185" i="5"/>
  <c r="E183" i="5"/>
  <c r="E182" i="5"/>
  <c r="E181" i="5"/>
  <c r="E180" i="5"/>
  <c r="E175" i="5"/>
  <c r="E174" i="5"/>
  <c r="E173" i="5"/>
  <c r="E172" i="5"/>
  <c r="E166" i="5"/>
  <c r="E165" i="5"/>
  <c r="E164" i="5"/>
  <c r="E163" i="5"/>
  <c r="E158" i="5"/>
  <c r="E157" i="5"/>
  <c r="E156" i="5"/>
  <c r="E155" i="5"/>
  <c r="E149" i="5"/>
  <c r="E148" i="5"/>
  <c r="E147" i="5"/>
  <c r="E146" i="5"/>
  <c r="E141" i="5"/>
  <c r="E140" i="5"/>
  <c r="E139" i="5"/>
  <c r="E138" i="5"/>
  <c r="E132" i="5"/>
  <c r="E131" i="5"/>
  <c r="E130" i="5"/>
  <c r="E129" i="5"/>
  <c r="E124" i="5"/>
  <c r="E123" i="5"/>
  <c r="E122" i="5"/>
  <c r="E121" i="5"/>
  <c r="E115" i="5"/>
  <c r="E114" i="5"/>
  <c r="E113" i="5"/>
  <c r="E112" i="5"/>
  <c r="E107" i="5"/>
  <c r="E106" i="5"/>
  <c r="E105" i="5"/>
  <c r="E104" i="5"/>
  <c r="E98" i="5"/>
  <c r="E97" i="5"/>
  <c r="E96" i="5"/>
  <c r="E95" i="5"/>
  <c r="E250" i="5"/>
  <c r="E222" i="5"/>
  <c r="E218" i="5"/>
  <c r="E211" i="5"/>
  <c r="E204" i="5"/>
  <c r="E193" i="5"/>
  <c r="E186" i="5"/>
  <c r="E243" i="5"/>
  <c r="E232" i="5"/>
  <c r="E227" i="5"/>
  <c r="E220" i="5"/>
  <c r="E213" i="5"/>
  <c r="E202" i="5"/>
  <c r="E195" i="5"/>
  <c r="E188" i="5"/>
  <c r="E184" i="5"/>
  <c r="E178" i="5"/>
  <c r="E176" i="5"/>
  <c r="E171" i="5"/>
  <c r="E169" i="5"/>
  <c r="E167" i="5"/>
  <c r="E162" i="5"/>
  <c r="E160" i="5"/>
  <c r="E179" i="5"/>
  <c r="E168" i="5"/>
  <c r="E161" i="5"/>
  <c r="E154" i="5"/>
  <c r="E153" i="5"/>
  <c r="E151" i="5"/>
  <c r="E144" i="5"/>
  <c r="E142" i="5"/>
  <c r="E137" i="5"/>
  <c r="E135" i="5"/>
  <c r="E133" i="5"/>
  <c r="E128" i="5"/>
  <c r="E126" i="5"/>
  <c r="E119" i="5"/>
  <c r="E117" i="5"/>
  <c r="E110" i="5"/>
  <c r="E108" i="5"/>
  <c r="E103" i="5"/>
  <c r="E101" i="5"/>
  <c r="E99" i="5"/>
  <c r="E90" i="5"/>
  <c r="E89" i="5"/>
  <c r="E88" i="5"/>
  <c r="E87" i="5"/>
  <c r="E81" i="5"/>
  <c r="E80" i="5"/>
  <c r="E79" i="5"/>
  <c r="E78" i="5"/>
  <c r="E73" i="5"/>
  <c r="E72" i="5"/>
  <c r="E177" i="5"/>
  <c r="E170" i="5"/>
  <c r="E159" i="5"/>
  <c r="E152" i="5"/>
  <c r="E150" i="5"/>
  <c r="E145" i="5"/>
  <c r="E143" i="5"/>
  <c r="E136" i="5"/>
  <c r="E134" i="5"/>
  <c r="E127" i="5"/>
  <c r="E125" i="5"/>
  <c r="E120" i="5"/>
  <c r="E118" i="5"/>
  <c r="E116" i="5"/>
  <c r="E111" i="5"/>
  <c r="E109" i="5"/>
  <c r="E102" i="5"/>
  <c r="E100" i="5"/>
  <c r="E94" i="5"/>
  <c r="E93" i="5"/>
  <c r="E92" i="5"/>
  <c r="E91" i="5"/>
  <c r="E86" i="5"/>
  <c r="E85" i="5"/>
  <c r="E84" i="5"/>
  <c r="E83" i="5"/>
  <c r="E82" i="5"/>
  <c r="E77" i="5"/>
  <c r="E76" i="5"/>
  <c r="E75" i="5"/>
  <c r="E74" i="5"/>
  <c r="E69" i="5"/>
  <c r="E68" i="5"/>
  <c r="E67" i="5"/>
  <c r="E66" i="5"/>
  <c r="E65" i="5"/>
  <c r="E60" i="5"/>
  <c r="E59" i="5"/>
  <c r="E58" i="5"/>
  <c r="E57" i="5"/>
  <c r="E52" i="5"/>
  <c r="E51" i="5"/>
  <c r="E50" i="5"/>
  <c r="E49" i="5"/>
  <c r="E48" i="5"/>
  <c r="E43" i="5"/>
  <c r="E42" i="5"/>
  <c r="E41" i="5"/>
  <c r="E40" i="5"/>
  <c r="E35" i="5"/>
  <c r="E34" i="5"/>
  <c r="E33" i="5"/>
  <c r="E32" i="5"/>
  <c r="E31" i="5"/>
  <c r="E26" i="5"/>
  <c r="E25" i="5"/>
  <c r="E24" i="5"/>
  <c r="E23" i="5"/>
  <c r="E18" i="5"/>
  <c r="E17" i="5"/>
  <c r="E16" i="5"/>
  <c r="E15" i="5"/>
  <c r="E14" i="5"/>
  <c r="E9" i="5"/>
  <c r="E8" i="5"/>
  <c r="E7" i="5"/>
  <c r="E6" i="5"/>
  <c r="E256" i="4"/>
  <c r="E255" i="4"/>
  <c r="E254" i="4"/>
  <c r="E253" i="4"/>
  <c r="E252" i="4"/>
  <c r="E247" i="4"/>
  <c r="E246" i="4"/>
  <c r="E245" i="4"/>
  <c r="E244" i="4"/>
  <c r="E239" i="4"/>
  <c r="E238" i="4"/>
  <c r="E237" i="4"/>
  <c r="E236" i="4"/>
  <c r="E235" i="4"/>
  <c r="E230" i="4"/>
  <c r="E229" i="4"/>
  <c r="E228" i="4"/>
  <c r="E227" i="4"/>
  <c r="E222" i="4"/>
  <c r="E221" i="4"/>
  <c r="E220" i="4"/>
  <c r="E219" i="4"/>
  <c r="E218" i="4"/>
  <c r="E213" i="4"/>
  <c r="E212" i="4"/>
  <c r="E211" i="4"/>
  <c r="E71" i="5"/>
  <c r="E70" i="5"/>
  <c r="E64" i="5"/>
  <c r="E63" i="5"/>
  <c r="E62" i="5"/>
  <c r="E61" i="5"/>
  <c r="E56" i="5"/>
  <c r="E55" i="5"/>
  <c r="E54" i="5"/>
  <c r="E53" i="5"/>
  <c r="E47" i="5"/>
  <c r="E46" i="5"/>
  <c r="E45" i="5"/>
  <c r="E44" i="5"/>
  <c r="E39" i="5"/>
  <c r="E38" i="5"/>
  <c r="E37" i="5"/>
  <c r="E36" i="5"/>
  <c r="E30" i="5"/>
  <c r="E29" i="5"/>
  <c r="E28" i="5"/>
  <c r="E27" i="5"/>
  <c r="E22" i="5"/>
  <c r="E21" i="5"/>
  <c r="E20" i="5"/>
  <c r="E19" i="5"/>
  <c r="E13" i="5"/>
  <c r="E12" i="5"/>
  <c r="E11" i="5"/>
  <c r="E10" i="5"/>
  <c r="E5" i="5"/>
  <c r="E4" i="5"/>
  <c r="E3" i="5"/>
  <c r="E2" i="5"/>
  <c r="E251" i="4"/>
  <c r="E250" i="4"/>
  <c r="E249" i="4"/>
  <c r="E248" i="4"/>
  <c r="E243" i="4"/>
  <c r="E242" i="4"/>
  <c r="E241" i="4"/>
  <c r="E240" i="4"/>
  <c r="E234" i="4"/>
  <c r="E233" i="4"/>
  <c r="E232" i="4"/>
  <c r="E231" i="4"/>
  <c r="E226" i="4"/>
  <c r="E225" i="4"/>
  <c r="E224" i="4"/>
  <c r="E223" i="4"/>
  <c r="E217" i="4"/>
  <c r="E216" i="4"/>
  <c r="E215" i="4"/>
  <c r="E214" i="4"/>
  <c r="E209" i="4"/>
  <c r="E6" i="4"/>
  <c r="E7" i="4"/>
  <c r="E8" i="4"/>
  <c r="E9" i="4"/>
  <c r="E14" i="4"/>
  <c r="E15" i="4"/>
  <c r="E16" i="4"/>
  <c r="E17" i="4"/>
  <c r="E18" i="4"/>
  <c r="E23" i="4"/>
  <c r="E24" i="4"/>
  <c r="E25" i="4"/>
  <c r="E26" i="4"/>
  <c r="E31" i="4"/>
  <c r="E32" i="4"/>
  <c r="E33" i="4"/>
  <c r="E34" i="4"/>
  <c r="E35" i="4"/>
  <c r="E40" i="4"/>
  <c r="E41" i="4"/>
  <c r="E42" i="4"/>
  <c r="E43" i="4"/>
  <c r="E48" i="4"/>
  <c r="E49" i="4"/>
  <c r="E50" i="4"/>
  <c r="E51" i="4"/>
  <c r="E52" i="4"/>
  <c r="E57" i="4"/>
  <c r="E58" i="4"/>
  <c r="E59" i="4"/>
  <c r="E60" i="4"/>
  <c r="E65" i="4"/>
  <c r="E66" i="4"/>
  <c r="E67" i="4"/>
  <c r="E68" i="4"/>
  <c r="E69" i="4"/>
  <c r="E74" i="4"/>
  <c r="E75" i="4"/>
  <c r="E76" i="4"/>
  <c r="E77" i="4"/>
  <c r="E82" i="4"/>
  <c r="E83" i="4"/>
  <c r="E84" i="4"/>
  <c r="E85" i="4"/>
  <c r="E86" i="4"/>
  <c r="E91" i="4"/>
  <c r="E92" i="4"/>
  <c r="E93" i="4"/>
  <c r="E94" i="4"/>
  <c r="E99" i="4"/>
  <c r="E100" i="4"/>
  <c r="E101" i="4"/>
  <c r="E102" i="4"/>
  <c r="E103" i="4"/>
  <c r="E108" i="4"/>
  <c r="E109" i="4"/>
  <c r="E110" i="4"/>
  <c r="E111" i="4"/>
  <c r="E116" i="4"/>
  <c r="E117" i="4"/>
  <c r="E118" i="4"/>
  <c r="E119" i="4"/>
  <c r="E120" i="4"/>
  <c r="E125" i="4"/>
  <c r="E126" i="4"/>
  <c r="E127" i="4"/>
  <c r="E128" i="4"/>
  <c r="E133" i="4"/>
  <c r="E134" i="4"/>
  <c r="E135" i="4"/>
  <c r="E136" i="4"/>
  <c r="E137" i="4"/>
  <c r="E142" i="4"/>
  <c r="E143" i="4"/>
  <c r="E144" i="4"/>
  <c r="E145" i="4"/>
  <c r="E150" i="4"/>
  <c r="E151" i="4"/>
  <c r="E152" i="4"/>
  <c r="E153" i="4"/>
  <c r="E154" i="4"/>
  <c r="E159" i="4"/>
  <c r="E160" i="4"/>
  <c r="E161" i="4"/>
  <c r="E162" i="4"/>
  <c r="E167" i="4"/>
  <c r="E168" i="4"/>
  <c r="E169" i="4"/>
  <c r="E170" i="4"/>
  <c r="E171" i="4"/>
  <c r="E176" i="4"/>
  <c r="E177" i="4"/>
  <c r="E178" i="4"/>
  <c r="E179" i="4"/>
  <c r="E184" i="4"/>
  <c r="E185" i="4"/>
  <c r="E186" i="4"/>
  <c r="E187" i="4"/>
  <c r="E188" i="4"/>
  <c r="E193" i="4"/>
  <c r="E194" i="4"/>
  <c r="E195" i="4"/>
  <c r="E196" i="4"/>
  <c r="E201" i="4"/>
  <c r="E202" i="4"/>
  <c r="E203" i="4"/>
  <c r="E204" i="4"/>
  <c r="E205" i="4"/>
  <c r="E15" i="3" l="1"/>
  <c r="E16" i="3" s="1"/>
  <c r="K255" i="5"/>
  <c r="K253" i="5"/>
  <c r="K252" i="5"/>
  <c r="K251" i="5"/>
  <c r="K246" i="5"/>
  <c r="K245" i="5"/>
  <c r="K244" i="5"/>
  <c r="K243" i="5"/>
  <c r="K238" i="5"/>
  <c r="K237" i="5"/>
  <c r="K235" i="5"/>
  <c r="K234" i="5"/>
  <c r="K229" i="5"/>
  <c r="K228" i="5"/>
  <c r="K227" i="5"/>
  <c r="K256" i="5"/>
  <c r="K249" i="5"/>
  <c r="K247" i="5"/>
  <c r="K242" i="5"/>
  <c r="K240" i="5"/>
  <c r="K233" i="5"/>
  <c r="K231" i="5"/>
  <c r="K225" i="5"/>
  <c r="K224" i="5"/>
  <c r="K223" i="5"/>
  <c r="K222" i="5"/>
  <c r="K216" i="5"/>
  <c r="K215" i="5"/>
  <c r="K214" i="5"/>
  <c r="K213" i="5"/>
  <c r="K208" i="5"/>
  <c r="K207" i="5"/>
  <c r="K206" i="5"/>
  <c r="K205" i="5"/>
  <c r="K199" i="5"/>
  <c r="K198" i="5"/>
  <c r="K197" i="5"/>
  <c r="K196" i="5"/>
  <c r="K191" i="5"/>
  <c r="K190" i="5"/>
  <c r="K189" i="5"/>
  <c r="K188" i="5"/>
  <c r="K250" i="5"/>
  <c r="K239" i="5"/>
  <c r="K232" i="5"/>
  <c r="K226" i="5"/>
  <c r="K221" i="5"/>
  <c r="K219" i="5"/>
  <c r="K217" i="5"/>
  <c r="K212" i="5"/>
  <c r="K210" i="5"/>
  <c r="K201" i="5"/>
  <c r="K194" i="5"/>
  <c r="K192" i="5"/>
  <c r="K187" i="5"/>
  <c r="K185" i="5"/>
  <c r="K183" i="5"/>
  <c r="K182" i="5"/>
  <c r="K181" i="5"/>
  <c r="K180" i="5"/>
  <c r="K179" i="5"/>
  <c r="K174" i="5"/>
  <c r="K173" i="5"/>
  <c r="K172" i="5"/>
  <c r="K171" i="5"/>
  <c r="K165" i="5"/>
  <c r="K164" i="5"/>
  <c r="K163" i="5"/>
  <c r="K162" i="5"/>
  <c r="K157" i="5"/>
  <c r="K156" i="5"/>
  <c r="K155" i="5"/>
  <c r="K154" i="5"/>
  <c r="K148" i="5"/>
  <c r="K147" i="5"/>
  <c r="K146" i="5"/>
  <c r="K145" i="5"/>
  <c r="K140" i="5"/>
  <c r="K139" i="5"/>
  <c r="K138" i="5"/>
  <c r="K137" i="5"/>
  <c r="K131" i="5"/>
  <c r="K130" i="5"/>
  <c r="K129" i="5"/>
  <c r="K128" i="5"/>
  <c r="K123" i="5"/>
  <c r="K122" i="5"/>
  <c r="K121" i="5"/>
  <c r="K120" i="5"/>
  <c r="K114" i="5"/>
  <c r="K113" i="5"/>
  <c r="K112" i="5"/>
  <c r="K111" i="5"/>
  <c r="K106" i="5"/>
  <c r="K105" i="5"/>
  <c r="K104" i="5"/>
  <c r="K103" i="5"/>
  <c r="K97" i="5"/>
  <c r="K96" i="5"/>
  <c r="K95" i="5"/>
  <c r="K94" i="5"/>
  <c r="K241" i="5"/>
  <c r="K230" i="5"/>
  <c r="K209" i="5"/>
  <c r="K202" i="5"/>
  <c r="K195" i="5"/>
  <c r="K184" i="5"/>
  <c r="K248" i="5"/>
  <c r="K218" i="5"/>
  <c r="K211" i="5"/>
  <c r="K204" i="5"/>
  <c r="K200" i="5"/>
  <c r="K193" i="5"/>
  <c r="K178" i="5"/>
  <c r="K176" i="5"/>
  <c r="K167" i="5"/>
  <c r="K160" i="5"/>
  <c r="K158" i="5"/>
  <c r="K153" i="5"/>
  <c r="K177" i="5"/>
  <c r="K170" i="5"/>
  <c r="K166" i="5"/>
  <c r="K159" i="5"/>
  <c r="K151" i="5"/>
  <c r="K149" i="5"/>
  <c r="K144" i="5"/>
  <c r="K142" i="5"/>
  <c r="K133" i="5"/>
  <c r="K126" i="5"/>
  <c r="K124" i="5"/>
  <c r="K119" i="5"/>
  <c r="K117" i="5"/>
  <c r="K115" i="5"/>
  <c r="K110" i="5"/>
  <c r="K108" i="5"/>
  <c r="K99" i="5"/>
  <c r="K89" i="5"/>
  <c r="K88" i="5"/>
  <c r="K87" i="5"/>
  <c r="K86" i="5"/>
  <c r="K80" i="5"/>
  <c r="K79" i="5"/>
  <c r="K78" i="5"/>
  <c r="K77" i="5"/>
  <c r="K72" i="5"/>
  <c r="K175" i="5"/>
  <c r="K168" i="5"/>
  <c r="K161" i="5"/>
  <c r="K150" i="5"/>
  <c r="K143" i="5"/>
  <c r="K141" i="5"/>
  <c r="K136" i="5"/>
  <c r="K134" i="5"/>
  <c r="K132" i="5"/>
  <c r="K127" i="5"/>
  <c r="K125" i="5"/>
  <c r="K116" i="5"/>
  <c r="K109" i="5"/>
  <c r="K107" i="5"/>
  <c r="K102" i="5"/>
  <c r="K100" i="5"/>
  <c r="K98" i="5"/>
  <c r="K93" i="5"/>
  <c r="K92" i="5"/>
  <c r="K91" i="5"/>
  <c r="K90" i="5"/>
  <c r="K85" i="5"/>
  <c r="K83" i="5"/>
  <c r="K82" i="5"/>
  <c r="K81" i="5"/>
  <c r="K76" i="5"/>
  <c r="K75" i="5"/>
  <c r="K74" i="5"/>
  <c r="K73" i="5"/>
  <c r="K71" i="5"/>
  <c r="K68" i="5"/>
  <c r="K66" i="5"/>
  <c r="K65" i="5"/>
  <c r="K64" i="5"/>
  <c r="K59" i="5"/>
  <c r="K58" i="5"/>
  <c r="K57" i="5"/>
  <c r="K56" i="5"/>
  <c r="K51" i="5"/>
  <c r="K49" i="5"/>
  <c r="K48" i="5"/>
  <c r="K47" i="5"/>
  <c r="K42" i="5"/>
  <c r="K41" i="5"/>
  <c r="K40" i="5"/>
  <c r="K39" i="5"/>
  <c r="K34" i="5"/>
  <c r="K32" i="5"/>
  <c r="K31" i="5"/>
  <c r="K30" i="5"/>
  <c r="K25" i="5"/>
  <c r="K24" i="5"/>
  <c r="K23" i="5"/>
  <c r="K22" i="5"/>
  <c r="K17" i="5"/>
  <c r="K15" i="5"/>
  <c r="K14" i="5"/>
  <c r="K13" i="5"/>
  <c r="K8" i="5"/>
  <c r="K7" i="5"/>
  <c r="K6" i="5"/>
  <c r="K5" i="5"/>
  <c r="K255" i="4"/>
  <c r="K253" i="4"/>
  <c r="K252" i="4"/>
  <c r="K251" i="4"/>
  <c r="K246" i="4"/>
  <c r="K245" i="4"/>
  <c r="K244" i="4"/>
  <c r="K243" i="4"/>
  <c r="K238" i="4"/>
  <c r="K236" i="4"/>
  <c r="K235" i="4"/>
  <c r="K234" i="4"/>
  <c r="K229" i="4"/>
  <c r="K228" i="4"/>
  <c r="K227" i="4"/>
  <c r="K226" i="4"/>
  <c r="K221" i="4"/>
  <c r="K219" i="4"/>
  <c r="K218" i="4"/>
  <c r="K217" i="4"/>
  <c r="K212" i="4"/>
  <c r="K211" i="4"/>
  <c r="K210" i="4"/>
  <c r="K70" i="5"/>
  <c r="K69" i="5"/>
  <c r="K63" i="5"/>
  <c r="K62" i="5"/>
  <c r="K61" i="5"/>
  <c r="K60" i="5"/>
  <c r="K55" i="5"/>
  <c r="K54" i="5"/>
  <c r="K53" i="5"/>
  <c r="K52" i="5"/>
  <c r="K46" i="5"/>
  <c r="K45" i="5"/>
  <c r="K44" i="5"/>
  <c r="K43" i="5"/>
  <c r="K38" i="5"/>
  <c r="K37" i="5"/>
  <c r="K36" i="5"/>
  <c r="K35" i="5"/>
  <c r="K29" i="5"/>
  <c r="K28" i="5"/>
  <c r="K27" i="5"/>
  <c r="K26" i="5"/>
  <c r="K21" i="5"/>
  <c r="K20" i="5"/>
  <c r="K19" i="5"/>
  <c r="K18" i="5"/>
  <c r="K12" i="5"/>
  <c r="K11" i="5"/>
  <c r="K10" i="5"/>
  <c r="K9" i="5"/>
  <c r="K4" i="5"/>
  <c r="K3" i="5"/>
  <c r="K2" i="5"/>
  <c r="K256" i="4"/>
  <c r="K250" i="4"/>
  <c r="K249" i="4"/>
  <c r="K248" i="4"/>
  <c r="K247" i="4"/>
  <c r="K242" i="4"/>
  <c r="K241" i="4"/>
  <c r="K240" i="4"/>
  <c r="K239" i="4"/>
  <c r="K233" i="4"/>
  <c r="K232" i="4"/>
  <c r="K231" i="4"/>
  <c r="K230" i="4"/>
  <c r="K225" i="4"/>
  <c r="K224" i="4"/>
  <c r="K223" i="4"/>
  <c r="K222" i="4"/>
  <c r="K216" i="4"/>
  <c r="K215" i="4"/>
  <c r="K214" i="4"/>
  <c r="K213" i="4"/>
  <c r="K208" i="4"/>
  <c r="K209" i="4"/>
  <c r="K204" i="4"/>
  <c r="K202" i="4"/>
  <c r="K201" i="4"/>
  <c r="K200" i="4"/>
  <c r="K195" i="4"/>
  <c r="K194" i="4"/>
  <c r="K193" i="4"/>
  <c r="K192" i="4"/>
  <c r="K187" i="4"/>
  <c r="K185" i="4"/>
  <c r="K184" i="4"/>
  <c r="K183" i="4"/>
  <c r="K178" i="4"/>
  <c r="K177" i="4"/>
  <c r="K176" i="4"/>
  <c r="K175" i="4"/>
  <c r="K170" i="4"/>
  <c r="K168" i="4"/>
  <c r="K167" i="4"/>
  <c r="K166" i="4"/>
  <c r="K161" i="4"/>
  <c r="K160" i="4"/>
  <c r="K159" i="4"/>
  <c r="K158" i="4"/>
  <c r="K153" i="4"/>
  <c r="K151" i="4"/>
  <c r="K150" i="4"/>
  <c r="K149" i="4"/>
  <c r="K144" i="4"/>
  <c r="K143" i="4"/>
  <c r="K142" i="4"/>
  <c r="K141" i="4"/>
  <c r="K136" i="4"/>
  <c r="K134" i="4"/>
  <c r="K133" i="4"/>
  <c r="K132" i="4"/>
  <c r="K127" i="4"/>
  <c r="K126" i="4"/>
  <c r="K125" i="4"/>
  <c r="K124" i="4"/>
  <c r="K119" i="4"/>
  <c r="K117" i="4"/>
  <c r="K116" i="4"/>
  <c r="K115" i="4"/>
  <c r="K110" i="4"/>
  <c r="K109" i="4"/>
  <c r="K108" i="4"/>
  <c r="K107" i="4"/>
  <c r="K102" i="4"/>
  <c r="K100" i="4"/>
  <c r="K99" i="4"/>
  <c r="K98" i="4"/>
  <c r="K93" i="4"/>
  <c r="K92" i="4"/>
  <c r="K91" i="4"/>
  <c r="K90" i="4"/>
  <c r="K85" i="4"/>
  <c r="K83" i="4"/>
  <c r="K82" i="4"/>
  <c r="K81" i="4"/>
  <c r="K76" i="4"/>
  <c r="K75" i="4"/>
  <c r="K74" i="4"/>
  <c r="K73" i="4"/>
  <c r="K68" i="4"/>
  <c r="K66" i="4"/>
  <c r="K65" i="4"/>
  <c r="K64" i="4"/>
  <c r="K59" i="4"/>
  <c r="K58" i="4"/>
  <c r="K57" i="4"/>
  <c r="K56" i="4"/>
  <c r="K51" i="4"/>
  <c r="K49" i="4"/>
  <c r="K48" i="4"/>
  <c r="K47" i="4"/>
  <c r="K42" i="4"/>
  <c r="K41" i="4"/>
  <c r="K40" i="4"/>
  <c r="K39" i="4"/>
  <c r="K34" i="4"/>
  <c r="K32" i="4"/>
  <c r="K31" i="4"/>
  <c r="K30" i="4"/>
  <c r="K25" i="4"/>
  <c r="K24" i="4"/>
  <c r="K23" i="4"/>
  <c r="K22" i="4"/>
  <c r="K17" i="4"/>
  <c r="K15" i="4"/>
  <c r="K14" i="4"/>
  <c r="K13" i="4"/>
  <c r="K8" i="4"/>
  <c r="K7" i="4"/>
  <c r="K6" i="4"/>
  <c r="K5" i="4"/>
  <c r="K207" i="4"/>
  <c r="K206" i="4"/>
  <c r="K205" i="4"/>
  <c r="K199" i="4"/>
  <c r="K198" i="4"/>
  <c r="K197" i="4"/>
  <c r="K196" i="4"/>
  <c r="K191" i="4"/>
  <c r="K190" i="4"/>
  <c r="K189" i="4"/>
  <c r="K188" i="4"/>
  <c r="K182" i="4"/>
  <c r="K181" i="4"/>
  <c r="K180" i="4"/>
  <c r="K179" i="4"/>
  <c r="K174" i="4"/>
  <c r="K173" i="4"/>
  <c r="K172" i="4"/>
  <c r="K171" i="4"/>
  <c r="K165" i="4"/>
  <c r="K164" i="4"/>
  <c r="K163" i="4"/>
  <c r="K162" i="4"/>
  <c r="K157" i="4"/>
  <c r="K156" i="4"/>
  <c r="K155" i="4"/>
  <c r="K154" i="4"/>
  <c r="K148" i="4"/>
  <c r="K147" i="4"/>
  <c r="K146" i="4"/>
  <c r="K145" i="4"/>
  <c r="K140" i="4"/>
  <c r="K139" i="4"/>
  <c r="K138" i="4"/>
  <c r="K137" i="4"/>
  <c r="K131" i="4"/>
  <c r="K130" i="4"/>
  <c r="K129" i="4"/>
  <c r="K128" i="4"/>
  <c r="K123" i="4"/>
  <c r="K122" i="4"/>
  <c r="K121" i="4"/>
  <c r="K120" i="4"/>
  <c r="K114" i="4"/>
  <c r="K113" i="4"/>
  <c r="K112" i="4"/>
  <c r="K111" i="4"/>
  <c r="K106" i="4"/>
  <c r="K105" i="4"/>
  <c r="K104" i="4"/>
  <c r="K103" i="4"/>
  <c r="K97" i="4"/>
  <c r="K96" i="4"/>
  <c r="K95" i="4"/>
  <c r="K94" i="4"/>
  <c r="K89" i="4"/>
  <c r="K88" i="4"/>
  <c r="K87" i="4"/>
  <c r="K86" i="4"/>
  <c r="K80" i="4"/>
  <c r="K79" i="4"/>
  <c r="K78" i="4"/>
  <c r="K77" i="4"/>
  <c r="K72" i="4"/>
  <c r="K71" i="4"/>
  <c r="K70" i="4"/>
  <c r="K69" i="4"/>
  <c r="K63" i="4"/>
  <c r="K62" i="4"/>
  <c r="K61" i="4"/>
  <c r="K60" i="4"/>
  <c r="K55" i="4"/>
  <c r="K54" i="4"/>
  <c r="K53" i="4"/>
  <c r="K52" i="4"/>
  <c r="K46" i="4"/>
  <c r="K45" i="4"/>
  <c r="K44" i="4"/>
  <c r="K43" i="4"/>
  <c r="K38" i="4"/>
  <c r="K37" i="4"/>
  <c r="K36" i="4"/>
  <c r="K35" i="4"/>
  <c r="K29" i="4"/>
  <c r="K28" i="4"/>
  <c r="K27" i="4"/>
  <c r="K26" i="4"/>
  <c r="K21" i="4"/>
  <c r="K20" i="4"/>
  <c r="K19" i="4"/>
  <c r="K18" i="4"/>
  <c r="K12" i="4"/>
  <c r="K11" i="4"/>
  <c r="K10" i="4"/>
  <c r="K9" i="4"/>
  <c r="K4" i="4"/>
  <c r="K3" i="4"/>
  <c r="K2" i="4"/>
  <c r="L256" i="5"/>
  <c r="L250" i="5"/>
  <c r="L249" i="5"/>
  <c r="L248" i="5"/>
  <c r="L247" i="5"/>
  <c r="L242" i="5"/>
  <c r="L241" i="5"/>
  <c r="L240" i="5"/>
  <c r="L239" i="5"/>
  <c r="L233" i="5"/>
  <c r="L232" i="5"/>
  <c r="L231" i="5"/>
  <c r="L230" i="5"/>
  <c r="L255" i="5"/>
  <c r="L253" i="5"/>
  <c r="L251" i="5"/>
  <c r="L246" i="5"/>
  <c r="L244" i="5"/>
  <c r="L237" i="5"/>
  <c r="L235" i="5"/>
  <c r="L228" i="5"/>
  <c r="L226" i="5"/>
  <c r="L221" i="5"/>
  <c r="L219" i="5"/>
  <c r="L218" i="5"/>
  <c r="L217" i="5"/>
  <c r="L212" i="5"/>
  <c r="L211" i="5"/>
  <c r="L210" i="5"/>
  <c r="L209" i="5"/>
  <c r="L204" i="5"/>
  <c r="L202" i="5"/>
  <c r="L201" i="5"/>
  <c r="L200" i="5"/>
  <c r="L195" i="5"/>
  <c r="L194" i="5"/>
  <c r="L193" i="5"/>
  <c r="L192" i="5"/>
  <c r="L187" i="5"/>
  <c r="L185" i="5"/>
  <c r="L184" i="5"/>
  <c r="L183" i="5"/>
  <c r="L243" i="5"/>
  <c r="L229" i="5"/>
  <c r="L225" i="5"/>
  <c r="L223" i="5"/>
  <c r="L216" i="5"/>
  <c r="L214" i="5"/>
  <c r="L207" i="5"/>
  <c r="L205" i="5"/>
  <c r="L198" i="5"/>
  <c r="L196" i="5"/>
  <c r="L191" i="5"/>
  <c r="L189" i="5"/>
  <c r="L178" i="5"/>
  <c r="L177" i="5"/>
  <c r="L176" i="5"/>
  <c r="L175" i="5"/>
  <c r="L170" i="5"/>
  <c r="L168" i="5"/>
  <c r="L167" i="5"/>
  <c r="L166" i="5"/>
  <c r="L161" i="5"/>
  <c r="L160" i="5"/>
  <c r="L159" i="5"/>
  <c r="L158" i="5"/>
  <c r="L153" i="5"/>
  <c r="L151" i="5"/>
  <c r="L150" i="5"/>
  <c r="L149" i="5"/>
  <c r="L144" i="5"/>
  <c r="L143" i="5"/>
  <c r="L142" i="5"/>
  <c r="L141" i="5"/>
  <c r="L136" i="5"/>
  <c r="L134" i="5"/>
  <c r="L133" i="5"/>
  <c r="L132" i="5"/>
  <c r="L127" i="5"/>
  <c r="L126" i="5"/>
  <c r="L125" i="5"/>
  <c r="L124" i="5"/>
  <c r="L119" i="5"/>
  <c r="L117" i="5"/>
  <c r="L116" i="5"/>
  <c r="L115" i="5"/>
  <c r="L110" i="5"/>
  <c r="L109" i="5"/>
  <c r="L108" i="5"/>
  <c r="L107" i="5"/>
  <c r="L102" i="5"/>
  <c r="L100" i="5"/>
  <c r="L99" i="5"/>
  <c r="L98" i="5"/>
  <c r="L252" i="5"/>
  <c r="L238" i="5"/>
  <c r="L227" i="5"/>
  <c r="L224" i="5"/>
  <c r="L213" i="5"/>
  <c r="L206" i="5"/>
  <c r="L199" i="5"/>
  <c r="L188" i="5"/>
  <c r="L181" i="5"/>
  <c r="L179" i="5"/>
  <c r="L245" i="5"/>
  <c r="L234" i="5"/>
  <c r="L222" i="5"/>
  <c r="L215" i="5"/>
  <c r="L208" i="5"/>
  <c r="L197" i="5"/>
  <c r="L190" i="5"/>
  <c r="L182" i="5"/>
  <c r="L180" i="5"/>
  <c r="L173" i="5"/>
  <c r="L171" i="5"/>
  <c r="L164" i="5"/>
  <c r="L162" i="5"/>
  <c r="L157" i="5"/>
  <c r="L155" i="5"/>
  <c r="L174" i="5"/>
  <c r="L163" i="5"/>
  <c r="L156" i="5"/>
  <c r="L148" i="5"/>
  <c r="L146" i="5"/>
  <c r="L139" i="5"/>
  <c r="L137" i="5"/>
  <c r="L130" i="5"/>
  <c r="L128" i="5"/>
  <c r="L123" i="5"/>
  <c r="L121" i="5"/>
  <c r="L114" i="5"/>
  <c r="L112" i="5"/>
  <c r="L105" i="5"/>
  <c r="L103" i="5"/>
  <c r="L96" i="5"/>
  <c r="L94" i="5"/>
  <c r="L93" i="5"/>
  <c r="L92" i="5"/>
  <c r="L91" i="5"/>
  <c r="L90" i="5"/>
  <c r="L85" i="5"/>
  <c r="L83" i="5"/>
  <c r="L82" i="5"/>
  <c r="L81" i="5"/>
  <c r="L76" i="5"/>
  <c r="L75" i="5"/>
  <c r="L74" i="5"/>
  <c r="L73" i="5"/>
  <c r="L172" i="5"/>
  <c r="L165" i="5"/>
  <c r="L154" i="5"/>
  <c r="L147" i="5"/>
  <c r="L145" i="5"/>
  <c r="L140" i="5"/>
  <c r="L138" i="5"/>
  <c r="L131" i="5"/>
  <c r="L129" i="5"/>
  <c r="L122" i="5"/>
  <c r="L120" i="5"/>
  <c r="L113" i="5"/>
  <c r="L111" i="5"/>
  <c r="L106" i="5"/>
  <c r="L104" i="5"/>
  <c r="L97" i="5"/>
  <c r="L95" i="5"/>
  <c r="L89" i="5"/>
  <c r="L88" i="5"/>
  <c r="L87" i="5"/>
  <c r="L86" i="5"/>
  <c r="L80" i="5"/>
  <c r="L79" i="5"/>
  <c r="L78" i="5"/>
  <c r="L77" i="5"/>
  <c r="L72" i="5"/>
  <c r="L71" i="5"/>
  <c r="L70" i="5"/>
  <c r="L69" i="5"/>
  <c r="L63" i="5"/>
  <c r="L62" i="5"/>
  <c r="L61" i="5"/>
  <c r="L60" i="5"/>
  <c r="L55" i="5"/>
  <c r="L54" i="5"/>
  <c r="L53" i="5"/>
  <c r="L52" i="5"/>
  <c r="L46" i="5"/>
  <c r="L45" i="5"/>
  <c r="L44" i="5"/>
  <c r="L43" i="5"/>
  <c r="L38" i="5"/>
  <c r="L37" i="5"/>
  <c r="L36" i="5"/>
  <c r="L35" i="5"/>
  <c r="L29" i="5"/>
  <c r="L28" i="5"/>
  <c r="L27" i="5"/>
  <c r="L26" i="5"/>
  <c r="L21" i="5"/>
  <c r="L20" i="5"/>
  <c r="L19" i="5"/>
  <c r="L18" i="5"/>
  <c r="L12" i="5"/>
  <c r="L11" i="5"/>
  <c r="L10" i="5"/>
  <c r="L9" i="5"/>
  <c r="L4" i="5"/>
  <c r="L3" i="5"/>
  <c r="L2" i="5"/>
  <c r="L256" i="4"/>
  <c r="L250" i="4"/>
  <c r="L249" i="4"/>
  <c r="L248" i="4"/>
  <c r="L247" i="4"/>
  <c r="L242" i="4"/>
  <c r="L241" i="4"/>
  <c r="L240" i="4"/>
  <c r="L239" i="4"/>
  <c r="L233" i="4"/>
  <c r="L232" i="4"/>
  <c r="L231" i="4"/>
  <c r="L230" i="4"/>
  <c r="L225" i="4"/>
  <c r="L224" i="4"/>
  <c r="L223" i="4"/>
  <c r="L222" i="4"/>
  <c r="L216" i="4"/>
  <c r="L215" i="4"/>
  <c r="L214" i="4"/>
  <c r="L213" i="4"/>
  <c r="L68" i="5"/>
  <c r="L66" i="5"/>
  <c r="L65" i="5"/>
  <c r="L64" i="5"/>
  <c r="L59" i="5"/>
  <c r="L58" i="5"/>
  <c r="L57" i="5"/>
  <c r="L56" i="5"/>
  <c r="L51" i="5"/>
  <c r="L49" i="5"/>
  <c r="L48" i="5"/>
  <c r="L47" i="5"/>
  <c r="L42" i="5"/>
  <c r="L41" i="5"/>
  <c r="L40" i="5"/>
  <c r="L39" i="5"/>
  <c r="L34" i="5"/>
  <c r="L32" i="5"/>
  <c r="L31" i="5"/>
  <c r="L30" i="5"/>
  <c r="L25" i="5"/>
  <c r="L24" i="5"/>
  <c r="L23" i="5"/>
  <c r="L22" i="5"/>
  <c r="L17" i="5"/>
  <c r="L15" i="5"/>
  <c r="L14" i="5"/>
  <c r="L13" i="5"/>
  <c r="L8" i="5"/>
  <c r="L7" i="5"/>
  <c r="L6" i="5"/>
  <c r="L5" i="5"/>
  <c r="L255" i="4"/>
  <c r="L253" i="4"/>
  <c r="L252" i="4"/>
  <c r="L251" i="4"/>
  <c r="L246" i="4"/>
  <c r="L245" i="4"/>
  <c r="L244" i="4"/>
  <c r="L243" i="4"/>
  <c r="L238" i="4"/>
  <c r="L236" i="4"/>
  <c r="L235" i="4"/>
  <c r="L234" i="4"/>
  <c r="L229" i="4"/>
  <c r="L228" i="4"/>
  <c r="L227" i="4"/>
  <c r="L226" i="4"/>
  <c r="L221" i="4"/>
  <c r="L219" i="4"/>
  <c r="L218" i="4"/>
  <c r="L217" i="4"/>
  <c r="L212" i="4"/>
  <c r="L211" i="4"/>
  <c r="L210" i="4"/>
  <c r="L209" i="4"/>
  <c r="L208" i="4"/>
  <c r="L207" i="4"/>
  <c r="L206" i="4"/>
  <c r="L205" i="4"/>
  <c r="L199" i="4"/>
  <c r="L198" i="4"/>
  <c r="L197" i="4"/>
  <c r="L196" i="4"/>
  <c r="L191" i="4"/>
  <c r="L190" i="4"/>
  <c r="L189" i="4"/>
  <c r="L188" i="4"/>
  <c r="L182" i="4"/>
  <c r="L181" i="4"/>
  <c r="L180" i="4"/>
  <c r="L179" i="4"/>
  <c r="L174" i="4"/>
  <c r="L173" i="4"/>
  <c r="L172" i="4"/>
  <c r="L171" i="4"/>
  <c r="L165" i="4"/>
  <c r="L164" i="4"/>
  <c r="L163" i="4"/>
  <c r="L162" i="4"/>
  <c r="L157" i="4"/>
  <c r="L156" i="4"/>
  <c r="L155" i="4"/>
  <c r="L154" i="4"/>
  <c r="L148" i="4"/>
  <c r="L147" i="4"/>
  <c r="L146" i="4"/>
  <c r="L145" i="4"/>
  <c r="L140" i="4"/>
  <c r="L139" i="4"/>
  <c r="L138" i="4"/>
  <c r="L137" i="4"/>
  <c r="L131" i="4"/>
  <c r="L130" i="4"/>
  <c r="L129" i="4"/>
  <c r="L128" i="4"/>
  <c r="L123" i="4"/>
  <c r="L122" i="4"/>
  <c r="L121" i="4"/>
  <c r="L120" i="4"/>
  <c r="L114" i="4"/>
  <c r="L113" i="4"/>
  <c r="L112" i="4"/>
  <c r="L111" i="4"/>
  <c r="L106" i="4"/>
  <c r="L105" i="4"/>
  <c r="L104" i="4"/>
  <c r="L103" i="4"/>
  <c r="L97" i="4"/>
  <c r="L96" i="4"/>
  <c r="L95" i="4"/>
  <c r="L94" i="4"/>
  <c r="L89" i="4"/>
  <c r="L88" i="4"/>
  <c r="L87" i="4"/>
  <c r="L86" i="4"/>
  <c r="L80" i="4"/>
  <c r="L79" i="4"/>
  <c r="L78" i="4"/>
  <c r="L77" i="4"/>
  <c r="L72" i="4"/>
  <c r="L71" i="4"/>
  <c r="L70" i="4"/>
  <c r="L69" i="4"/>
  <c r="L63" i="4"/>
  <c r="L62" i="4"/>
  <c r="L61" i="4"/>
  <c r="L60" i="4"/>
  <c r="L55" i="4"/>
  <c r="L54" i="4"/>
  <c r="L53" i="4"/>
  <c r="L52" i="4"/>
  <c r="L46" i="4"/>
  <c r="L45" i="4"/>
  <c r="L44" i="4"/>
  <c r="L43" i="4"/>
  <c r="L38" i="4"/>
  <c r="L37" i="4"/>
  <c r="L36" i="4"/>
  <c r="L35" i="4"/>
  <c r="L29" i="4"/>
  <c r="L28" i="4"/>
  <c r="L27" i="4"/>
  <c r="L26" i="4"/>
  <c r="L21" i="4"/>
  <c r="L20" i="4"/>
  <c r="L19" i="4"/>
  <c r="L18" i="4"/>
  <c r="L12" i="4"/>
  <c r="L11" i="4"/>
  <c r="L10" i="4"/>
  <c r="L9" i="4"/>
  <c r="L4" i="4"/>
  <c r="L3" i="4"/>
  <c r="L2" i="4"/>
  <c r="L204" i="4"/>
  <c r="L202" i="4"/>
  <c r="L201" i="4"/>
  <c r="L200" i="4"/>
  <c r="L195" i="4"/>
  <c r="L194" i="4"/>
  <c r="L193" i="4"/>
  <c r="L192" i="4"/>
  <c r="L187" i="4"/>
  <c r="L185" i="4"/>
  <c r="L184" i="4"/>
  <c r="L183" i="4"/>
  <c r="L178" i="4"/>
  <c r="L177" i="4"/>
  <c r="L176" i="4"/>
  <c r="L175" i="4"/>
  <c r="L170" i="4"/>
  <c r="L168" i="4"/>
  <c r="L167" i="4"/>
  <c r="L166" i="4"/>
  <c r="L161" i="4"/>
  <c r="L160" i="4"/>
  <c r="L159" i="4"/>
  <c r="L158" i="4"/>
  <c r="L153" i="4"/>
  <c r="L151" i="4"/>
  <c r="L150" i="4"/>
  <c r="L149" i="4"/>
  <c r="L144" i="4"/>
  <c r="L143" i="4"/>
  <c r="L142" i="4"/>
  <c r="L141" i="4"/>
  <c r="L136" i="4"/>
  <c r="L134" i="4"/>
  <c r="L133" i="4"/>
  <c r="L132" i="4"/>
  <c r="L127" i="4"/>
  <c r="L126" i="4"/>
  <c r="L125" i="4"/>
  <c r="L124" i="4"/>
  <c r="L119" i="4"/>
  <c r="L117" i="4"/>
  <c r="L116" i="4"/>
  <c r="L115" i="4"/>
  <c r="L110" i="4"/>
  <c r="L109" i="4"/>
  <c r="L108" i="4"/>
  <c r="L107" i="4"/>
  <c r="L102" i="4"/>
  <c r="L100" i="4"/>
  <c r="L99" i="4"/>
  <c r="L98" i="4"/>
  <c r="L93" i="4"/>
  <c r="L92" i="4"/>
  <c r="L91" i="4"/>
  <c r="L90" i="4"/>
  <c r="L85" i="4"/>
  <c r="L83" i="4"/>
  <c r="L82" i="4"/>
  <c r="L81" i="4"/>
  <c r="L76" i="4"/>
  <c r="L75" i="4"/>
  <c r="L74" i="4"/>
  <c r="L73" i="4"/>
  <c r="L68" i="4"/>
  <c r="L66" i="4"/>
  <c r="L65" i="4"/>
  <c r="L64" i="4"/>
  <c r="L59" i="4"/>
  <c r="L58" i="4"/>
  <c r="L57" i="4"/>
  <c r="L56" i="4"/>
  <c r="L51" i="4"/>
  <c r="L49" i="4"/>
  <c r="L48" i="4"/>
  <c r="L47" i="4"/>
  <c r="L42" i="4"/>
  <c r="L41" i="4"/>
  <c r="L40" i="4"/>
  <c r="L39" i="4"/>
  <c r="L34" i="4"/>
  <c r="L32" i="4"/>
  <c r="L31" i="4"/>
  <c r="L30" i="4"/>
  <c r="L25" i="4"/>
  <c r="L24" i="4"/>
  <c r="L23" i="4"/>
  <c r="L22" i="4"/>
  <c r="L17" i="4"/>
  <c r="L15" i="4"/>
  <c r="L14" i="4"/>
  <c r="L13" i="4"/>
  <c r="L8" i="4"/>
  <c r="L7" i="4"/>
  <c r="L6" i="4"/>
  <c r="L5" i="4"/>
  <c r="B21" i="3"/>
  <c r="B14" i="1" s="1"/>
  <c r="B14" i="3" a="1"/>
  <c r="B14" i="3" s="1"/>
  <c r="B13" i="3" a="1"/>
  <c r="B13" i="3" s="1"/>
  <c r="B20" i="3"/>
  <c r="B12" i="1" s="1"/>
  <c r="H14" i="3" a="1"/>
  <c r="H14" i="3" s="1"/>
  <c r="H15" i="3" s="1"/>
  <c r="H16" i="3" s="1"/>
  <c r="H13" i="3" a="1"/>
  <c r="H13" i="3" s="1"/>
  <c r="I16" i="4"/>
  <c r="K16" i="4" s="1"/>
  <c r="I33" i="4"/>
  <c r="K33" i="4" s="1"/>
  <c r="I50" i="4"/>
  <c r="K50" i="4" s="1"/>
  <c r="I67" i="4"/>
  <c r="K67" i="4" s="1"/>
  <c r="I84" i="4"/>
  <c r="K84" i="4" s="1"/>
  <c r="I101" i="4"/>
  <c r="K101" i="4" s="1"/>
  <c r="I118" i="4"/>
  <c r="K118" i="4" s="1"/>
  <c r="I135" i="4"/>
  <c r="K135" i="4" s="1"/>
  <c r="I152" i="4"/>
  <c r="K152" i="4" s="1"/>
  <c r="I169" i="4"/>
  <c r="K169" i="4" s="1"/>
  <c r="I186" i="4"/>
  <c r="K186" i="4" s="1"/>
  <c r="I203" i="4"/>
  <c r="K203" i="4" s="1"/>
  <c r="I84" i="5"/>
  <c r="K84" i="5" s="1"/>
  <c r="I186" i="5"/>
  <c r="K186" i="5" s="1"/>
  <c r="I203" i="5"/>
  <c r="L203" i="5" s="1"/>
  <c r="I220" i="5"/>
  <c r="K220" i="5" s="1"/>
  <c r="I236" i="5"/>
  <c r="K236" i="5" s="1"/>
  <c r="I220" i="4"/>
  <c r="K220" i="4" s="1"/>
  <c r="I237" i="4"/>
  <c r="K237" i="4" s="1"/>
  <c r="I254" i="4"/>
  <c r="K254" i="4" s="1"/>
  <c r="I16" i="5"/>
  <c r="K16" i="5" s="1"/>
  <c r="I33" i="5"/>
  <c r="K33" i="5" s="1"/>
  <c r="I50" i="5"/>
  <c r="K50" i="5" s="1"/>
  <c r="I67" i="5"/>
  <c r="K67" i="5" s="1"/>
  <c r="I101" i="5"/>
  <c r="K101" i="5" s="1"/>
  <c r="I118" i="5"/>
  <c r="K118" i="5" s="1"/>
  <c r="I135" i="5"/>
  <c r="L135" i="5" s="1"/>
  <c r="I152" i="5"/>
  <c r="K152" i="5" s="1"/>
  <c r="I169" i="5"/>
  <c r="K169" i="5" s="1"/>
  <c r="I254" i="5"/>
  <c r="K254" i="5" s="1"/>
  <c r="E17" i="3" l="1"/>
  <c r="E18" i="3" s="1"/>
  <c r="B15" i="3"/>
  <c r="B16" i="3" s="1"/>
  <c r="L33" i="4"/>
  <c r="L67" i="4"/>
  <c r="L101" i="4"/>
  <c r="L135" i="4"/>
  <c r="L169" i="4"/>
  <c r="L203" i="4"/>
  <c r="L220" i="4"/>
  <c r="L254" i="4"/>
  <c r="L33" i="5"/>
  <c r="L67" i="5"/>
  <c r="L84" i="5"/>
  <c r="L118" i="5"/>
  <c r="L152" i="5"/>
  <c r="L236" i="5"/>
  <c r="L254" i="5"/>
  <c r="L186" i="5"/>
  <c r="L220" i="5"/>
  <c r="K135" i="5"/>
  <c r="K203" i="5"/>
  <c r="L16" i="4"/>
  <c r="L50" i="4"/>
  <c r="L84" i="4"/>
  <c r="L118" i="4"/>
  <c r="L152" i="4"/>
  <c r="L186" i="4"/>
  <c r="L237" i="4"/>
  <c r="L16" i="5"/>
  <c r="L50" i="5"/>
  <c r="L101" i="5"/>
  <c r="L169" i="5"/>
  <c r="H17" i="3" l="1"/>
  <c r="H18" i="3" s="1"/>
  <c r="B17" i="3"/>
  <c r="B18" i="3" s="1"/>
</calcChain>
</file>

<file path=xl/sharedStrings.xml><?xml version="1.0" encoding="utf-8"?>
<sst xmlns="http://schemas.openxmlformats.org/spreadsheetml/2006/main" count="1721" uniqueCount="613">
  <si>
    <t/>
  </si>
  <si>
    <t>期間（初日）</t>
  </si>
  <si>
    <t>期間（末日）</t>
  </si>
  <si>
    <t>年齢区分</t>
  </si>
  <si>
    <t>給与形態</t>
  </si>
  <si>
    <t>追加給付見込み額</t>
    <rPh sb="0" eb="2">
      <t>ツイカ</t>
    </rPh>
    <rPh sb="2" eb="4">
      <t>キュウフ</t>
    </rPh>
    <rPh sb="4" eb="6">
      <t>ミコ</t>
    </rPh>
    <rPh sb="7" eb="8">
      <t>ガク</t>
    </rPh>
    <phoneticPr fontId="3"/>
  </si>
  <si>
    <t>旧支給額（概算）</t>
    <rPh sb="0" eb="1">
      <t>キュウ</t>
    </rPh>
    <rPh sb="1" eb="3">
      <t>シキュウ</t>
    </rPh>
    <rPh sb="3" eb="4">
      <t>ガク</t>
    </rPh>
    <rPh sb="5" eb="7">
      <t>ガイサン</t>
    </rPh>
    <phoneticPr fontId="3"/>
  </si>
  <si>
    <t>平成16年</t>
    <rPh sb="0" eb="2">
      <t>ヘイセイ</t>
    </rPh>
    <rPh sb="4" eb="5">
      <t>ネン</t>
    </rPh>
    <phoneticPr fontId="12"/>
  </si>
  <si>
    <t>平成17年</t>
    <rPh sb="0" eb="2">
      <t>ヘイセイ</t>
    </rPh>
    <rPh sb="4" eb="5">
      <t>ネン</t>
    </rPh>
    <phoneticPr fontId="12"/>
  </si>
  <si>
    <t>平成18年</t>
    <rPh sb="0" eb="2">
      <t>ヘイセイ</t>
    </rPh>
    <rPh sb="4" eb="5">
      <t>ネン</t>
    </rPh>
    <phoneticPr fontId="12"/>
  </si>
  <si>
    <t>平成19年</t>
    <rPh sb="0" eb="2">
      <t>ヘイセイ</t>
    </rPh>
    <rPh sb="4" eb="5">
      <t>ネン</t>
    </rPh>
    <phoneticPr fontId="12"/>
  </si>
  <si>
    <t>平成20年</t>
    <rPh sb="0" eb="2">
      <t>ヘイセイ</t>
    </rPh>
    <rPh sb="4" eb="5">
      <t>ネン</t>
    </rPh>
    <phoneticPr fontId="12"/>
  </si>
  <si>
    <t>平成21年</t>
    <rPh sb="0" eb="2">
      <t>ヘイセイ</t>
    </rPh>
    <rPh sb="4" eb="5">
      <t>ネン</t>
    </rPh>
    <phoneticPr fontId="12"/>
  </si>
  <si>
    <t>平成22年</t>
    <rPh sb="0" eb="2">
      <t>ヘイセイ</t>
    </rPh>
    <rPh sb="4" eb="5">
      <t>ネン</t>
    </rPh>
    <phoneticPr fontId="12"/>
  </si>
  <si>
    <t>平成23年</t>
    <rPh sb="0" eb="2">
      <t>ヘイセイ</t>
    </rPh>
    <rPh sb="4" eb="5">
      <t>ネン</t>
    </rPh>
    <phoneticPr fontId="12"/>
  </si>
  <si>
    <t>平成24年</t>
    <rPh sb="0" eb="2">
      <t>ヘイセイ</t>
    </rPh>
    <rPh sb="4" eb="5">
      <t>ネン</t>
    </rPh>
    <phoneticPr fontId="12"/>
  </si>
  <si>
    <t>平成25年</t>
    <rPh sb="0" eb="2">
      <t>ヘイセイ</t>
    </rPh>
    <rPh sb="4" eb="5">
      <t>ネン</t>
    </rPh>
    <phoneticPr fontId="12"/>
  </si>
  <si>
    <t>平成26年</t>
    <rPh sb="0" eb="2">
      <t>ヘイセイ</t>
    </rPh>
    <rPh sb="4" eb="5">
      <t>ネン</t>
    </rPh>
    <phoneticPr fontId="12"/>
  </si>
  <si>
    <t>平成27年</t>
    <rPh sb="0" eb="2">
      <t>ヘイセイ</t>
    </rPh>
    <rPh sb="4" eb="5">
      <t>ネン</t>
    </rPh>
    <phoneticPr fontId="12"/>
  </si>
  <si>
    <t>平成28年</t>
    <rPh sb="0" eb="2">
      <t>ヘイセイ</t>
    </rPh>
    <rPh sb="4" eb="5">
      <t>ネン</t>
    </rPh>
    <phoneticPr fontId="12"/>
  </si>
  <si>
    <t>平成29年</t>
    <rPh sb="0" eb="2">
      <t>ヘイセイ</t>
    </rPh>
    <rPh sb="4" eb="5">
      <t>ネン</t>
    </rPh>
    <phoneticPr fontId="12"/>
  </si>
  <si>
    <t>平成30年</t>
    <rPh sb="0" eb="2">
      <t>ヘイセイ</t>
    </rPh>
    <rPh sb="4" eb="5">
      <t>ネン</t>
    </rPh>
    <phoneticPr fontId="12"/>
  </si>
  <si>
    <t>平成31年</t>
    <rPh sb="0" eb="2">
      <t>ヘイセイ</t>
    </rPh>
    <rPh sb="4" eb="5">
      <t>ネン</t>
    </rPh>
    <phoneticPr fontId="12"/>
  </si>
  <si>
    <t>1月</t>
    <rPh sb="1" eb="2">
      <t>ガツ</t>
    </rPh>
    <phoneticPr fontId="1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</si>
  <si>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</si>
  <si>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</si>
  <si>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</si>
  <si>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</si>
  <si>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</si>
  <si>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</si>
  <si>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</si>
  <si>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</si>
  <si>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</si>
  <si>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</si>
  <si>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</si>
  <si>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ニチ</t>
    </rPh>
    <phoneticPr fontId="12"/>
  </si>
  <si>
    <t>2日</t>
    <rPh sb="1" eb="2">
      <t>ニチ</t>
    </rPh>
    <phoneticPr fontId="12"/>
  </si>
  <si>
    <t>3日</t>
    <rPh sb="1" eb="2">
      <t>ニチ</t>
    </rPh>
    <phoneticPr fontId="12"/>
  </si>
  <si>
    <t>4日</t>
    <rPh sb="1" eb="2">
      <t>ニチ</t>
    </rPh>
    <phoneticPr fontId="12"/>
  </si>
  <si>
    <t>5日</t>
    <rPh sb="1" eb="2">
      <t>ニチ</t>
    </rPh>
    <phoneticPr fontId="12"/>
  </si>
  <si>
    <t>6日</t>
    <rPh sb="1" eb="2">
      <t>ニチ</t>
    </rPh>
    <phoneticPr fontId="12"/>
  </si>
  <si>
    <t>7日</t>
    <rPh sb="1" eb="2">
      <t>ニチ</t>
    </rPh>
    <phoneticPr fontId="12"/>
  </si>
  <si>
    <t>8日</t>
    <rPh sb="1" eb="2">
      <t>ニチ</t>
    </rPh>
    <phoneticPr fontId="12"/>
  </si>
  <si>
    <t>9日</t>
    <rPh sb="1" eb="2">
      <t>ニチ</t>
    </rPh>
    <phoneticPr fontId="12"/>
  </si>
  <si>
    <t>10日</t>
    <rPh sb="2" eb="3">
      <t>ニチ</t>
    </rPh>
    <phoneticPr fontId="12"/>
  </si>
  <si>
    <t>11日</t>
    <rPh sb="2" eb="3">
      <t>ニチ</t>
    </rPh>
    <phoneticPr fontId="12"/>
  </si>
  <si>
    <t>12日</t>
    <rPh sb="2" eb="3">
      <t>ニチ</t>
    </rPh>
    <phoneticPr fontId="12"/>
  </si>
  <si>
    <t>13日</t>
    <rPh sb="2" eb="3">
      <t>ニチ</t>
    </rPh>
    <phoneticPr fontId="12"/>
  </si>
  <si>
    <t>14日</t>
    <rPh sb="2" eb="3">
      <t>ニチ</t>
    </rPh>
    <phoneticPr fontId="12"/>
  </si>
  <si>
    <t>15日</t>
    <rPh sb="2" eb="3">
      <t>ニチ</t>
    </rPh>
    <phoneticPr fontId="12"/>
  </si>
  <si>
    <t>16日</t>
    <rPh sb="2" eb="3">
      <t>ニチ</t>
    </rPh>
    <phoneticPr fontId="12"/>
  </si>
  <si>
    <t>17日</t>
    <rPh sb="2" eb="3">
      <t>ニチ</t>
    </rPh>
    <phoneticPr fontId="12"/>
  </si>
  <si>
    <t>18日</t>
    <rPh sb="2" eb="3">
      <t>ニチ</t>
    </rPh>
    <phoneticPr fontId="12"/>
  </si>
  <si>
    <t>19日</t>
    <rPh sb="2" eb="3">
      <t>ニチ</t>
    </rPh>
    <phoneticPr fontId="12"/>
  </si>
  <si>
    <t>20日</t>
    <rPh sb="2" eb="3">
      <t>ニチ</t>
    </rPh>
    <phoneticPr fontId="12"/>
  </si>
  <si>
    <t>21日</t>
    <rPh sb="2" eb="3">
      <t>ニチ</t>
    </rPh>
    <phoneticPr fontId="12"/>
  </si>
  <si>
    <t>22日</t>
    <rPh sb="2" eb="3">
      <t>ニチ</t>
    </rPh>
    <phoneticPr fontId="12"/>
  </si>
  <si>
    <t>23日</t>
    <rPh sb="2" eb="3">
      <t>ニチ</t>
    </rPh>
    <phoneticPr fontId="12"/>
  </si>
  <si>
    <t>24日</t>
    <rPh sb="2" eb="3">
      <t>ニチ</t>
    </rPh>
    <phoneticPr fontId="12"/>
  </si>
  <si>
    <t>25日</t>
    <rPh sb="2" eb="3">
      <t>ニチ</t>
    </rPh>
    <phoneticPr fontId="12"/>
  </si>
  <si>
    <t>26日</t>
    <rPh sb="2" eb="3">
      <t>ニチ</t>
    </rPh>
    <phoneticPr fontId="12"/>
  </si>
  <si>
    <t>27日</t>
    <rPh sb="2" eb="3">
      <t>ニチ</t>
    </rPh>
    <phoneticPr fontId="12"/>
  </si>
  <si>
    <t>28日</t>
    <rPh sb="2" eb="3">
      <t>ニチ</t>
    </rPh>
    <phoneticPr fontId="12"/>
  </si>
  <si>
    <t>29日</t>
    <rPh sb="2" eb="3">
      <t>ニチ</t>
    </rPh>
    <phoneticPr fontId="12"/>
  </si>
  <si>
    <t>30日</t>
    <rPh sb="2" eb="3">
      <t>ニチ</t>
    </rPh>
    <phoneticPr fontId="12"/>
  </si>
  <si>
    <t>31日</t>
    <rPh sb="2" eb="3">
      <t>ニチ</t>
    </rPh>
    <phoneticPr fontId="12"/>
  </si>
  <si>
    <t>月給</t>
    <rPh sb="0" eb="2">
      <t>ゲッキュウ</t>
    </rPh>
    <phoneticPr fontId="12"/>
  </si>
  <si>
    <t>～29歳または65歳～</t>
    <rPh sb="3" eb="4">
      <t>サイ</t>
    </rPh>
    <rPh sb="9" eb="10">
      <t>サイ</t>
    </rPh>
    <phoneticPr fontId="12"/>
  </si>
  <si>
    <t>30歳～44歳</t>
    <rPh sb="2" eb="3">
      <t>サイ</t>
    </rPh>
    <rPh sb="6" eb="7">
      <t>サイ</t>
    </rPh>
    <phoneticPr fontId="12"/>
  </si>
  <si>
    <t>45歳～59歳</t>
    <rPh sb="2" eb="3">
      <t>サイ</t>
    </rPh>
    <rPh sb="6" eb="7">
      <t>サイ</t>
    </rPh>
    <phoneticPr fontId="12"/>
  </si>
  <si>
    <t>60歳～64歳</t>
    <rPh sb="2" eb="3">
      <t>サイ</t>
    </rPh>
    <rPh sb="6" eb="7">
      <t>サイ</t>
    </rPh>
    <phoneticPr fontId="12"/>
  </si>
  <si>
    <t>期間（初日末日含む日数）</t>
    <rPh sb="3" eb="5">
      <t>ショニチ</t>
    </rPh>
    <rPh sb="5" eb="7">
      <t>マツジツ</t>
    </rPh>
    <rPh sb="7" eb="8">
      <t>フク</t>
    </rPh>
    <rPh sb="9" eb="11">
      <t>ニッスウ</t>
    </rPh>
    <phoneticPr fontId="12"/>
  </si>
  <si>
    <t>賃金日額（w)</t>
    <rPh sb="0" eb="2">
      <t>チンギン</t>
    </rPh>
    <rPh sb="2" eb="4">
      <t>ニチガク</t>
    </rPh>
    <phoneticPr fontId="12"/>
  </si>
  <si>
    <t>加算額</t>
    <rPh sb="0" eb="2">
      <t>カサン</t>
    </rPh>
    <rPh sb="2" eb="3">
      <t>ガク</t>
    </rPh>
    <phoneticPr fontId="12"/>
  </si>
  <si>
    <t>H16.8.1～H17.7.31</t>
    <phoneticPr fontId="12"/>
  </si>
  <si>
    <t>H30.8.1～H31.7.31</t>
    <phoneticPr fontId="12"/>
  </si>
  <si>
    <t>2480円以上4970円未満</t>
    <rPh sb="4" eb="5">
      <t>エン</t>
    </rPh>
    <rPh sb="5" eb="7">
      <t>イジョウ</t>
    </rPh>
    <rPh sb="11" eb="12">
      <t>エン</t>
    </rPh>
    <rPh sb="12" eb="14">
      <t>ミマン</t>
    </rPh>
    <phoneticPr fontId="12"/>
  </si>
  <si>
    <t>13510円超</t>
    <rPh sb="5" eb="6">
      <t>エン</t>
    </rPh>
    <rPh sb="6" eb="7">
      <t>チョウ</t>
    </rPh>
    <phoneticPr fontId="12"/>
  </si>
  <si>
    <t>離職前賃金（１ヶ月分）</t>
    <rPh sb="8" eb="10">
      <t>ゲツブン</t>
    </rPh>
    <phoneticPr fontId="12"/>
  </si>
  <si>
    <t>離職前賃金（６ヶ月分）</t>
    <rPh sb="8" eb="10">
      <t>ゲツブン</t>
    </rPh>
    <phoneticPr fontId="12"/>
  </si>
  <si>
    <t>y = 0.8ｗ</t>
  </si>
  <si>
    <t>y = 0.8w-0.3{（ｗ-4970)/(12220-4970)}ｗ</t>
  </si>
  <si>
    <t>y = 0.5ｗ</t>
  </si>
  <si>
    <t>y = 0.8w-0.35{（ｗ-4970)/(10990-4970)}ｗ</t>
  </si>
  <si>
    <t>y = 0.45ｗ</t>
  </si>
  <si>
    <t>年齢判定</t>
    <rPh sb="0" eb="2">
      <t>ネンレイ</t>
    </rPh>
    <rPh sb="2" eb="4">
      <t>ハンテイ</t>
    </rPh>
    <phoneticPr fontId="12"/>
  </si>
  <si>
    <t>賃金日額判定</t>
    <rPh sb="0" eb="2">
      <t>チンギン</t>
    </rPh>
    <rPh sb="2" eb="4">
      <t>ニチガク</t>
    </rPh>
    <rPh sb="4" eb="6">
      <t>ハンテイ</t>
    </rPh>
    <phoneticPr fontId="12"/>
  </si>
  <si>
    <t>2470円以上4940円未満</t>
    <rPh sb="4" eb="5">
      <t>エン</t>
    </rPh>
    <rPh sb="5" eb="7">
      <t>イジョウ</t>
    </rPh>
    <rPh sb="11" eb="12">
      <t>エン</t>
    </rPh>
    <rPh sb="12" eb="14">
      <t>ミマン</t>
    </rPh>
    <phoneticPr fontId="12"/>
  </si>
  <si>
    <t>13430円超</t>
    <rPh sb="5" eb="6">
      <t>エン</t>
    </rPh>
    <rPh sb="6" eb="7">
      <t>チョウ</t>
    </rPh>
    <phoneticPr fontId="12"/>
  </si>
  <si>
    <t>14920円超</t>
    <phoneticPr fontId="12"/>
  </si>
  <si>
    <t>2480円以上4970円未満</t>
  </si>
  <si>
    <t>4970円以上12220円以下</t>
  </si>
  <si>
    <t>12220円超15010円以下</t>
  </si>
  <si>
    <t>15010円超</t>
  </si>
  <si>
    <t>4970円以上10990円以下</t>
  </si>
  <si>
    <t>10990円超15750円以下</t>
  </si>
  <si>
    <t>15750円超</t>
  </si>
  <si>
    <t>16420円超</t>
    <phoneticPr fontId="12"/>
  </si>
  <si>
    <t>10930円超15660円以下</t>
    <phoneticPr fontId="12"/>
  </si>
  <si>
    <t>15660円超</t>
    <phoneticPr fontId="12"/>
  </si>
  <si>
    <t>y = 0.8w-0.3{（ｗ-4940)/(12150-4940)}ｗ</t>
  </si>
  <si>
    <t>y = 0.8w-0.35{（ｗ-4940)/(10930-4940)}ｗ</t>
  </si>
  <si>
    <t>y = 6755</t>
  </si>
  <si>
    <t>y = 7505</t>
  </si>
  <si>
    <t>y = 0.05w＋(10990×0.4）のいずれか低い方の額</t>
  </si>
  <si>
    <t>y = 7087</t>
  </si>
  <si>
    <t>y = 6715</t>
  </si>
  <si>
    <t>y = 7460</t>
    <phoneticPr fontId="12"/>
  </si>
  <si>
    <t>y = 8210</t>
    <phoneticPr fontId="12"/>
  </si>
  <si>
    <t>y = 7047</t>
    <phoneticPr fontId="12"/>
  </si>
  <si>
    <t>y = 0.8w-0.3{（ｗ-4590)/(11640-4590)}ｗ</t>
  </si>
  <si>
    <t>y = 7080</t>
  </si>
  <si>
    <t>y = 7785</t>
  </si>
  <si>
    <t>y = 6691</t>
  </si>
  <si>
    <t>y = 6380</t>
  </si>
  <si>
    <t>y = 0.8w-0.35{（ｗ-4590)/(10470-4590)}ｗ</t>
  </si>
  <si>
    <t>2300円以上4590円未満</t>
    <rPh sb="4" eb="5">
      <t>エン</t>
    </rPh>
    <rPh sb="5" eb="7">
      <t>イジョウ</t>
    </rPh>
    <rPh sb="11" eb="12">
      <t>エン</t>
    </rPh>
    <rPh sb="12" eb="14">
      <t>ミマン</t>
    </rPh>
    <phoneticPr fontId="12"/>
  </si>
  <si>
    <t>14160円超</t>
  </si>
  <si>
    <t>15570円超</t>
  </si>
  <si>
    <t>14870円超</t>
  </si>
  <si>
    <t>12760円超</t>
    <rPh sb="5" eb="6">
      <t>エン</t>
    </rPh>
    <rPh sb="6" eb="7">
      <t>チョウ</t>
    </rPh>
    <phoneticPr fontId="12"/>
  </si>
  <si>
    <t>y = 0.05w＋(10470×0.4）のいずれか低い方の額</t>
    <phoneticPr fontId="12"/>
  </si>
  <si>
    <t>再計算後</t>
    <rPh sb="0" eb="3">
      <t>サイケイサン</t>
    </rPh>
    <rPh sb="3" eb="4">
      <t>ゴ</t>
    </rPh>
    <phoneticPr fontId="12"/>
  </si>
  <si>
    <t>あてる計算式の基準日</t>
    <rPh sb="3" eb="6">
      <t>ケイサンシキ</t>
    </rPh>
    <rPh sb="7" eb="10">
      <t>キジュンビ</t>
    </rPh>
    <phoneticPr fontId="12"/>
  </si>
  <si>
    <t>計算式判定</t>
    <rPh sb="0" eb="3">
      <t>ケイサンシキ</t>
    </rPh>
    <rPh sb="3" eb="5">
      <t>ハンテイ</t>
    </rPh>
    <phoneticPr fontId="12"/>
  </si>
  <si>
    <t>y = 0.8w-0.3{（ｗ-4970)/(12210-4970)}ｗ</t>
  </si>
  <si>
    <t>4970円以上12210円以下</t>
  </si>
  <si>
    <t>12210円超14990円以下</t>
  </si>
  <si>
    <t>14990円超</t>
  </si>
  <si>
    <t>12210円超16500円以下</t>
  </si>
  <si>
    <t>16500円超</t>
  </si>
  <si>
    <t>4970円以上10980円以下</t>
  </si>
  <si>
    <t>y = 0.8w-0.35{（ｗ-4970)/(10980-4970)}ｗ</t>
  </si>
  <si>
    <t>y = 0.05w＋(10980×0.4）のいずれか低い方の額</t>
  </si>
  <si>
    <t>10980円超15740円以下</t>
  </si>
  <si>
    <t>15740円超</t>
  </si>
  <si>
    <t>13500円超</t>
    <rPh sb="5" eb="6">
      <t>エン</t>
    </rPh>
    <rPh sb="6" eb="7">
      <t>チョウ</t>
    </rPh>
    <phoneticPr fontId="12"/>
  </si>
  <si>
    <t>y = 7495</t>
  </si>
  <si>
    <t>y = 8250</t>
  </si>
  <si>
    <t>y = 7083</t>
  </si>
  <si>
    <t>y = 6750</t>
  </si>
  <si>
    <t>14910円超</t>
  </si>
  <si>
    <t>15650円超</t>
  </si>
  <si>
    <t>13420円超</t>
    <rPh sb="5" eb="6">
      <t>エン</t>
    </rPh>
    <rPh sb="6" eb="7">
      <t>チョウ</t>
    </rPh>
    <phoneticPr fontId="12"/>
  </si>
  <si>
    <t>y = 6710</t>
  </si>
  <si>
    <t>8/1またぐ場合の7/31までの日数</t>
    <rPh sb="6" eb="8">
      <t>バアイ</t>
    </rPh>
    <rPh sb="16" eb="18">
      <t>ニッスウ</t>
    </rPh>
    <phoneticPr fontId="12"/>
  </si>
  <si>
    <t>8/1またぐ場合の8/1からの日数</t>
    <rPh sb="6" eb="8">
      <t>バアイ</t>
    </rPh>
    <rPh sb="15" eb="17">
      <t>ニッスウ</t>
    </rPh>
    <phoneticPr fontId="12"/>
  </si>
  <si>
    <t>当初</t>
    <rPh sb="0" eb="2">
      <t>トウショ</t>
    </rPh>
    <phoneticPr fontId="12"/>
  </si>
  <si>
    <t>末日の年8/1またぎ判定</t>
    <rPh sb="0" eb="2">
      <t>マツジツ</t>
    </rPh>
    <rPh sb="3" eb="4">
      <t>ネン</t>
    </rPh>
    <rPh sb="10" eb="12">
      <t>ハンテイ</t>
    </rPh>
    <phoneticPr fontId="12"/>
  </si>
  <si>
    <t>初日の年8/1またぎ判定</t>
    <rPh sb="0" eb="2">
      <t>ショニチ</t>
    </rPh>
    <rPh sb="3" eb="4">
      <t>ネン</t>
    </rPh>
    <rPh sb="10" eb="12">
      <t>ハンテイ</t>
    </rPh>
    <phoneticPr fontId="12"/>
  </si>
  <si>
    <t>初日の年の7/31</t>
    <rPh sb="0" eb="2">
      <t>ショニチ</t>
    </rPh>
    <rPh sb="3" eb="4">
      <t>ネン</t>
    </rPh>
    <phoneticPr fontId="12"/>
  </si>
  <si>
    <t>末日の年の7/31</t>
    <rPh sb="0" eb="2">
      <t>マツジツ</t>
    </rPh>
    <rPh sb="3" eb="4">
      <t>ネン</t>
    </rPh>
    <phoneticPr fontId="12"/>
  </si>
  <si>
    <t>当初基本手当日額</t>
    <phoneticPr fontId="12"/>
  </si>
  <si>
    <t>再計算後基本手当日額</t>
    <phoneticPr fontId="12"/>
  </si>
  <si>
    <t>基本手当日額の差額</t>
    <phoneticPr fontId="12"/>
  </si>
  <si>
    <t>計算式基準日判定</t>
    <rPh sb="0" eb="3">
      <t>ケイサンシキ</t>
    </rPh>
    <rPh sb="3" eb="6">
      <t>キジュンビ</t>
    </rPh>
    <rPh sb="6" eb="8">
      <t>ハンテイ</t>
    </rPh>
    <phoneticPr fontId="12"/>
  </si>
  <si>
    <t>基本手当日額</t>
    <rPh sb="0" eb="6">
      <t>キホンテアテニチガク</t>
    </rPh>
    <phoneticPr fontId="12"/>
  </si>
  <si>
    <t>計算式</t>
    <rPh sb="0" eb="3">
      <t>ケイサンシキ</t>
    </rPh>
    <phoneticPr fontId="12"/>
  </si>
  <si>
    <t>賃金日額範囲</t>
    <rPh sb="0" eb="2">
      <t>チンギン</t>
    </rPh>
    <rPh sb="2" eb="4">
      <t>ニチガク</t>
    </rPh>
    <rPh sb="4" eb="6">
      <t>ハンイ</t>
    </rPh>
    <phoneticPr fontId="12"/>
  </si>
  <si>
    <t>年齢範囲</t>
    <rPh sb="0" eb="2">
      <t>ネンレイ</t>
    </rPh>
    <rPh sb="2" eb="4">
      <t>ハンイ</t>
    </rPh>
    <phoneticPr fontId="12"/>
  </si>
  <si>
    <t>★</t>
    <phoneticPr fontId="12"/>
  </si>
  <si>
    <t>☆</t>
    <phoneticPr fontId="12"/>
  </si>
  <si>
    <t>◇</t>
    <phoneticPr fontId="12"/>
  </si>
  <si>
    <t>◆</t>
    <phoneticPr fontId="12"/>
  </si>
  <si>
    <t>2310円以上4620円未満</t>
    <rPh sb="4" eb="5">
      <t>エン</t>
    </rPh>
    <rPh sb="5" eb="7">
      <t>イジョウ</t>
    </rPh>
    <rPh sb="11" eb="12">
      <t>エン</t>
    </rPh>
    <rPh sb="12" eb="14">
      <t>ミマン</t>
    </rPh>
    <phoneticPr fontId="12"/>
  </si>
  <si>
    <t>y = 0.8w-0.3{（ｗ-4620)/(11710-4620)}ｗ</t>
  </si>
  <si>
    <t>14240円超</t>
  </si>
  <si>
    <t>15660円超</t>
  </si>
  <si>
    <t>y = 0.8w-0.35{（ｗ-4620)/(10530-4620)}ｗ</t>
  </si>
  <si>
    <t>y = 0.05w＋(10530×0.4）のいずれか低い方の額</t>
  </si>
  <si>
    <t>10530円超14960円以下</t>
  </si>
  <si>
    <t>14960円超</t>
  </si>
  <si>
    <t>12830円超</t>
    <rPh sb="5" eb="6">
      <t>エン</t>
    </rPh>
    <rPh sb="6" eb="7">
      <t>チョウ</t>
    </rPh>
    <phoneticPr fontId="12"/>
  </si>
  <si>
    <t>y = 7120</t>
  </si>
  <si>
    <t>y = 7830</t>
  </si>
  <si>
    <t>y = 6732</t>
  </si>
  <si>
    <t>y = 6415</t>
  </si>
  <si>
    <t>2310円以上4610円未満</t>
    <rPh sb="4" eb="5">
      <t>エン</t>
    </rPh>
    <rPh sb="5" eb="7">
      <t>イジョウ</t>
    </rPh>
    <rPh sb="11" eb="12">
      <t>エン</t>
    </rPh>
    <rPh sb="12" eb="14">
      <t>ミマン</t>
    </rPh>
    <phoneticPr fontId="12"/>
  </si>
  <si>
    <t>y = 0.8w-0.3{（ｗ-4610)/(11690-4610)}ｗ</t>
  </si>
  <si>
    <t>14220円超</t>
  </si>
  <si>
    <t>15640円超</t>
  </si>
  <si>
    <t>y = 0.8w-0.35{（ｗ-4610)/(10510-4610)}ｗ</t>
  </si>
  <si>
    <t>y = 0.05w＋(10510×0.4）のいずれか低い方の額</t>
  </si>
  <si>
    <t>10510円超14940円以下</t>
  </si>
  <si>
    <t>14940円超</t>
  </si>
  <si>
    <t>12810円超</t>
    <rPh sb="5" eb="6">
      <t>エン</t>
    </rPh>
    <rPh sb="6" eb="7">
      <t>チョウ</t>
    </rPh>
    <phoneticPr fontId="12"/>
  </si>
  <si>
    <t>y = 7110</t>
  </si>
  <si>
    <t>y = 7820</t>
  </si>
  <si>
    <t>y = 6723</t>
  </si>
  <si>
    <t>y = 6405</t>
  </si>
  <si>
    <t>14230円超</t>
  </si>
  <si>
    <t>10510円超14950円以下</t>
  </si>
  <si>
    <t>14950円超</t>
  </si>
  <si>
    <t>y = 7115</t>
  </si>
  <si>
    <t>y = 7825</t>
  </si>
  <si>
    <t>y = 6727</t>
  </si>
  <si>
    <t>2320円以上4640円未満</t>
    <rPh sb="4" eb="5">
      <t>エン</t>
    </rPh>
    <rPh sb="5" eb="7">
      <t>イジョウ</t>
    </rPh>
    <rPh sb="11" eb="12">
      <t>エン</t>
    </rPh>
    <rPh sb="12" eb="14">
      <t>ミマン</t>
    </rPh>
    <phoneticPr fontId="12"/>
  </si>
  <si>
    <t>y = 0.8w-0.3{（ｗ-4640)/(11750-4640)}ｗ</t>
  </si>
  <si>
    <t>14310円超</t>
  </si>
  <si>
    <t>15030円超</t>
  </si>
  <si>
    <t>y = 0.8w-0.35{（ｗ-4640)/(10570-4640)}ｗ</t>
  </si>
  <si>
    <t>y = 0.05w＋(10570×0.4）のいずれか低い方の額</t>
  </si>
  <si>
    <t>10570円超15030円以下</t>
  </si>
  <si>
    <t>y = 7155</t>
  </si>
  <si>
    <t>y = 7870</t>
  </si>
  <si>
    <t>y = 6763</t>
  </si>
  <si>
    <t>y = 6440</t>
  </si>
  <si>
    <t>2330円以上4650円未満</t>
    <rPh sb="4" eb="5">
      <t>エン</t>
    </rPh>
    <rPh sb="5" eb="7">
      <t>イジョウ</t>
    </rPh>
    <rPh sb="11" eb="12">
      <t>エン</t>
    </rPh>
    <rPh sb="12" eb="14">
      <t>ミマン</t>
    </rPh>
    <phoneticPr fontId="12"/>
  </si>
  <si>
    <t>y = 0.8w-0.3{（ｗ-4650)/(11780-4650)}ｗ</t>
  </si>
  <si>
    <t>14340円超</t>
  </si>
  <si>
    <t>15780円超</t>
  </si>
  <si>
    <t>y = 0.8w-0.35{（ｗ-4650)/(10600-4650)}ｗ</t>
  </si>
  <si>
    <t>y = 0.05w＋(10600×0.4）のいずれか低い方の額</t>
  </si>
  <si>
    <t>10600円超15070円以下</t>
  </si>
  <si>
    <t>15070円超</t>
  </si>
  <si>
    <t>12880円超</t>
    <rPh sb="5" eb="6">
      <t>エン</t>
    </rPh>
    <rPh sb="6" eb="7">
      <t>チョウ</t>
    </rPh>
    <phoneticPr fontId="12"/>
  </si>
  <si>
    <t>12910円超</t>
    <rPh sb="5" eb="6">
      <t>エン</t>
    </rPh>
    <rPh sb="6" eb="7">
      <t>チョウ</t>
    </rPh>
    <phoneticPr fontId="12"/>
  </si>
  <si>
    <t>y = 7170</t>
  </si>
  <si>
    <t>y = 7890</t>
  </si>
  <si>
    <t>y = 6781</t>
  </si>
  <si>
    <t>y = 6455</t>
  </si>
  <si>
    <t>2010円以上3970円未満</t>
    <rPh sb="4" eb="5">
      <t>エン</t>
    </rPh>
    <rPh sb="5" eb="7">
      <t>イジョウ</t>
    </rPh>
    <rPh sb="11" eb="12">
      <t>エン</t>
    </rPh>
    <rPh sb="12" eb="14">
      <t>ミマン</t>
    </rPh>
    <phoneticPr fontId="12"/>
  </si>
  <si>
    <t>y = 0.8w-0.3{（ｗ-3970)/(11490-3970)}ｗ</t>
  </si>
  <si>
    <t>13730円超</t>
  </si>
  <si>
    <t>15120円超</t>
  </si>
  <si>
    <t>y = 0.8w-0.35{（ｗ-3970)/(10290-3970)}ｗ</t>
  </si>
  <si>
    <t>y = 0.05w＋(10290×0.4）のいずれか低い方の額</t>
  </si>
  <si>
    <t>10290円超14640円以下</t>
  </si>
  <si>
    <t>14640円超</t>
  </si>
  <si>
    <t>12360円超</t>
    <rPh sb="5" eb="6">
      <t>エン</t>
    </rPh>
    <rPh sb="6" eb="7">
      <t>チョウ</t>
    </rPh>
    <phoneticPr fontId="12"/>
  </si>
  <si>
    <t>y = 6865</t>
  </si>
  <si>
    <t>y = 7560</t>
  </si>
  <si>
    <t>y = 6588</t>
  </si>
  <si>
    <t>y = 6180</t>
  </si>
  <si>
    <t>2060円以上4060円未満</t>
    <rPh sb="4" eb="5">
      <t>エン</t>
    </rPh>
    <rPh sb="5" eb="7">
      <t>イジョウ</t>
    </rPh>
    <rPh sb="11" eb="12">
      <t>エン</t>
    </rPh>
    <rPh sb="12" eb="14">
      <t>ミマン</t>
    </rPh>
    <phoneticPr fontId="12"/>
  </si>
  <si>
    <t>y = 0.8w-0.3{（ｗ-4060)/(11760-4060)}ｗ</t>
  </si>
  <si>
    <t>14060円超</t>
  </si>
  <si>
    <t>15480円超</t>
  </si>
  <si>
    <t>y = 0.8w-0.35{（ｗ-4060)/(10540-4060)}ｗ</t>
  </si>
  <si>
    <t>y = 0.05w＋(10540×0.4）のいずれか低い方の額</t>
  </si>
  <si>
    <t>10540円超14990円以下</t>
  </si>
  <si>
    <t>12660円超</t>
    <rPh sb="5" eb="6">
      <t>エン</t>
    </rPh>
    <rPh sb="6" eb="7">
      <t>チョウ</t>
    </rPh>
    <phoneticPr fontId="12"/>
  </si>
  <si>
    <t>y = 7030</t>
  </si>
  <si>
    <t>y = 7740</t>
  </si>
  <si>
    <t>y = 6745</t>
  </si>
  <si>
    <t>y = 6330</t>
  </si>
  <si>
    <t>2070円以上4080円未満</t>
    <rPh sb="4" eb="5">
      <t>エン</t>
    </rPh>
    <rPh sb="5" eb="7">
      <t>イジョウ</t>
    </rPh>
    <rPh sb="11" eb="12">
      <t>エン</t>
    </rPh>
    <rPh sb="12" eb="14">
      <t>ミマン</t>
    </rPh>
    <phoneticPr fontId="12"/>
  </si>
  <si>
    <t>y = 0.8w-0.3{（ｗ-4080)/(11830-4080)}ｗ</t>
  </si>
  <si>
    <t>14140円超</t>
  </si>
  <si>
    <t>y = 0.8w-0.35{（ｗ-4080)/(10600-4080)}ｗ</t>
  </si>
  <si>
    <t>10600円超15080円以下</t>
  </si>
  <si>
    <t>15080円超</t>
  </si>
  <si>
    <t>12740円超</t>
    <rPh sb="5" eb="6">
      <t>エン</t>
    </rPh>
    <rPh sb="6" eb="7">
      <t>チョウ</t>
    </rPh>
    <phoneticPr fontId="12"/>
  </si>
  <si>
    <t>y = 7070</t>
  </si>
  <si>
    <t>y = 6786</t>
  </si>
  <si>
    <t>y = 6370</t>
  </si>
  <si>
    <t>2080円以上4100円未満</t>
    <rPh sb="4" eb="5">
      <t>エン</t>
    </rPh>
    <rPh sb="5" eb="7">
      <t>イジョウ</t>
    </rPh>
    <rPh sb="11" eb="12">
      <t>エン</t>
    </rPh>
    <rPh sb="12" eb="14">
      <t>ミマン</t>
    </rPh>
    <phoneticPr fontId="12"/>
  </si>
  <si>
    <t>y = 0.8w-0.3{（ｗ-4100)/(11890-4100)}ｗ</t>
  </si>
  <si>
    <t>y = 0.8w-0.35{（ｗ-4100)/(10660-4100)}ｗ</t>
  </si>
  <si>
    <t>y = 0.05w＋(10660×0.4）のいずれか低い方の額</t>
  </si>
  <si>
    <t>10660円超15160円以下</t>
  </si>
  <si>
    <t>15160円超</t>
  </si>
  <si>
    <t>y = 6822</t>
  </si>
  <si>
    <t>2090円以上4120円未満</t>
    <rPh sb="4" eb="5">
      <t>エン</t>
    </rPh>
    <rPh sb="5" eb="7">
      <t>イジョウ</t>
    </rPh>
    <rPh sb="11" eb="12">
      <t>エン</t>
    </rPh>
    <rPh sb="12" eb="14">
      <t>ミマン</t>
    </rPh>
    <phoneticPr fontId="12"/>
  </si>
  <si>
    <t>y = 0.8w-0.3{（ｗ-4120)/(11940-4120)}ｗ</t>
  </si>
  <si>
    <t>14280円超</t>
  </si>
  <si>
    <t>15720円超</t>
  </si>
  <si>
    <t>y = 0.8w-0.35{（ｗ-4120)/(10710-4120)}ｗ</t>
  </si>
  <si>
    <t>y = 0.05w＋(10710×0.4）のいずれか低い方の額</t>
  </si>
  <si>
    <t>10710円超15230円以下</t>
  </si>
  <si>
    <t>15230円超</t>
  </si>
  <si>
    <t>12870円超</t>
    <rPh sb="5" eb="6">
      <t>エン</t>
    </rPh>
    <rPh sb="6" eb="7">
      <t>チョウ</t>
    </rPh>
    <phoneticPr fontId="12"/>
  </si>
  <si>
    <t>y = 7140</t>
  </si>
  <si>
    <t>y = 7860</t>
  </si>
  <si>
    <t>y = 6853</t>
  </si>
  <si>
    <t>y = 6435</t>
  </si>
  <si>
    <t>y = 0.8w-0.3{（ｗ-4100)/(11900-4100)}ｗ</t>
  </si>
  <si>
    <t>y = 0.8w-0.35{（ｗ-4100)/(10670-4100)}ｗ</t>
  </si>
  <si>
    <t>y = 0.05w＋(10670×0.4）のいずれか低い方の額</t>
  </si>
  <si>
    <t>10670円超15170円以下</t>
  </si>
  <si>
    <t>15170円超</t>
  </si>
  <si>
    <t>12820円超</t>
    <rPh sb="5" eb="6">
      <t>エン</t>
    </rPh>
    <rPh sb="6" eb="7">
      <t>チョウ</t>
    </rPh>
    <phoneticPr fontId="12"/>
  </si>
  <si>
    <t>y = 6826</t>
  </si>
  <si>
    <t>y = 6410</t>
  </si>
  <si>
    <t>2110円以上4160円未満</t>
    <rPh sb="4" eb="5">
      <t>エン</t>
    </rPh>
    <rPh sb="5" eb="7">
      <t>イジョウ</t>
    </rPh>
    <rPh sb="11" eb="12">
      <t>エン</t>
    </rPh>
    <rPh sb="12" eb="14">
      <t>ミマン</t>
    </rPh>
    <phoneticPr fontId="12"/>
  </si>
  <si>
    <t>y = 0.8w-0.3{（ｗ-4160)/(12080-4160)}ｗ</t>
  </si>
  <si>
    <t>14450円超</t>
  </si>
  <si>
    <t>15900円超</t>
  </si>
  <si>
    <t>y = 0.8w-0.35{（ｗ-4160)/(10830-4160)}ｗ</t>
  </si>
  <si>
    <t>y = 0.05w＋(10830×0.4）のいずれか低い方の額</t>
  </si>
  <si>
    <t>10830円超15400円以下</t>
  </si>
  <si>
    <t>15400円超</t>
  </si>
  <si>
    <t>13010円超</t>
    <rPh sb="5" eb="6">
      <t>エン</t>
    </rPh>
    <rPh sb="6" eb="7">
      <t>チョウ</t>
    </rPh>
    <phoneticPr fontId="12"/>
  </si>
  <si>
    <t>y = 7225</t>
  </si>
  <si>
    <t>y = 7950</t>
  </si>
  <si>
    <t>y = 6930</t>
  </si>
  <si>
    <t>y = 6505</t>
  </si>
  <si>
    <t>加算額</t>
    <rPh sb="0" eb="2">
      <t>カサン</t>
    </rPh>
    <rPh sb="2" eb="3">
      <t>ガク</t>
    </rPh>
    <phoneticPr fontId="12"/>
  </si>
  <si>
    <t>加算額　</t>
    <rPh sb="0" eb="2">
      <t>カサン</t>
    </rPh>
    <rPh sb="2" eb="3">
      <t>ガク</t>
    </rPh>
    <phoneticPr fontId="12"/>
  </si>
  <si>
    <t>H29.8.1～H30.7.31</t>
    <phoneticPr fontId="12"/>
  </si>
  <si>
    <t>H28.8.1～H29.7.31</t>
    <phoneticPr fontId="12"/>
  </si>
  <si>
    <t>H27.8.1～H28.7.31</t>
    <phoneticPr fontId="12"/>
  </si>
  <si>
    <t>H26.8.1～H27.7.31</t>
    <phoneticPr fontId="12"/>
  </si>
  <si>
    <t>H25.8.1～H26.7.31</t>
    <phoneticPr fontId="12"/>
  </si>
  <si>
    <t>H24.8.1～H25.7.31</t>
    <phoneticPr fontId="12"/>
  </si>
  <si>
    <t>H23.8.1～H24.7.31</t>
    <phoneticPr fontId="12"/>
  </si>
  <si>
    <t>H22.8.1～H23.7.31</t>
    <phoneticPr fontId="12"/>
  </si>
  <si>
    <t>H21.8.1～H22.7.31</t>
    <phoneticPr fontId="12"/>
  </si>
  <si>
    <t>H20.8.1～H21.7.31</t>
    <phoneticPr fontId="12"/>
  </si>
  <si>
    <t>H19.8.1～H20.7.31</t>
    <phoneticPr fontId="12"/>
  </si>
  <si>
    <t>H18.8.1～H19.7.31</t>
    <phoneticPr fontId="12"/>
  </si>
  <si>
    <t>H17.8.1～H18.7.31</t>
    <phoneticPr fontId="12"/>
  </si>
  <si>
    <t>y = 0.8w-0.3{（ｗ-4940)/(12140-4940)}ｗ</t>
  </si>
  <si>
    <t>y = 0.8w-0.35{（ｗ-4940)/(10920-4940)}ｗ</t>
  </si>
  <si>
    <t>y = 0.05w＋(10920×0.4）のいずれか低い方の額</t>
  </si>
  <si>
    <t>2290円以上4580円未満</t>
    <rPh sb="4" eb="5">
      <t>エン</t>
    </rPh>
    <rPh sb="5" eb="7">
      <t>イジョウ</t>
    </rPh>
    <rPh sb="11" eb="12">
      <t>エン</t>
    </rPh>
    <rPh sb="12" eb="14">
      <t>ミマン</t>
    </rPh>
    <phoneticPr fontId="12"/>
  </si>
  <si>
    <t>y = 0.8w-0.3{（ｗ-4580)/(11610-4580)}ｗ</t>
  </si>
  <si>
    <t>14150円超</t>
  </si>
  <si>
    <t>15550円超</t>
  </si>
  <si>
    <t>y = 0.8w-0.35{（ｗ-4580)/(10460-4580)}ｗ</t>
  </si>
  <si>
    <t>y = 7075</t>
  </si>
  <si>
    <t>y = 7775</t>
  </si>
  <si>
    <t>y = 6687</t>
  </si>
  <si>
    <t>10460円超14860円以下</t>
  </si>
  <si>
    <t>14860円超</t>
  </si>
  <si>
    <t>2300円以上4600円未満</t>
    <rPh sb="4" eb="5">
      <t>エン</t>
    </rPh>
    <rPh sb="5" eb="7">
      <t>イジョウ</t>
    </rPh>
    <rPh sb="11" eb="12">
      <t>エン</t>
    </rPh>
    <rPh sb="12" eb="14">
      <t>ミマン</t>
    </rPh>
    <phoneticPr fontId="12"/>
  </si>
  <si>
    <t>y = 0.8w-0.3{（ｗ-4600)/(11660-4600)}ｗ</t>
  </si>
  <si>
    <t>14210円超</t>
  </si>
  <si>
    <t>15620円超</t>
  </si>
  <si>
    <t>y = 0.8w-0.35{（ｗ-4600)/(10500-4600)}ｗ</t>
  </si>
  <si>
    <t>y = 0.05w＋(10500×0.4）のいずれか低い方の額</t>
  </si>
  <si>
    <t>10500円超14920円以下</t>
  </si>
  <si>
    <t>14920円超</t>
  </si>
  <si>
    <t>12790円超</t>
    <rPh sb="5" eb="6">
      <t>エン</t>
    </rPh>
    <rPh sb="6" eb="7">
      <t>チョウ</t>
    </rPh>
    <phoneticPr fontId="12"/>
  </si>
  <si>
    <t>y = 7105</t>
  </si>
  <si>
    <t>y = 7810</t>
  </si>
  <si>
    <t>y = 6714</t>
  </si>
  <si>
    <t>y = 6395</t>
  </si>
  <si>
    <t>y = 0.8w-0.3{（ｗ-4600)/(11650-4600)}ｗ</t>
  </si>
  <si>
    <t>14200円超</t>
  </si>
  <si>
    <t>15610円超</t>
  </si>
  <si>
    <t>y = 0.8w-0.35{（ｗ-4600)/(10490-4600)}ｗ</t>
  </si>
  <si>
    <t>y = 0.05w＋(10490×0.4）のいずれか低い方の額</t>
  </si>
  <si>
    <t>10490円超14910円以下</t>
  </si>
  <si>
    <t>12780円超</t>
    <rPh sb="5" eb="6">
      <t>エン</t>
    </rPh>
    <rPh sb="6" eb="7">
      <t>チョウ</t>
    </rPh>
    <phoneticPr fontId="12"/>
  </si>
  <si>
    <t>y = 7100</t>
  </si>
  <si>
    <t>y = 7805</t>
  </si>
  <si>
    <t>y = 6709</t>
  </si>
  <si>
    <t>y = 6390</t>
  </si>
  <si>
    <t>y = 0.8w-0.3{（ｗ-4610)/(11680-4610)}ｗ</t>
  </si>
  <si>
    <t>y = 0.8w-0.3{（ｗ-4640)/(11740-4640)}ｗ</t>
  </si>
  <si>
    <t>10570円超15020円以下</t>
  </si>
  <si>
    <t>15020円超</t>
  </si>
  <si>
    <t>y = 6759</t>
  </si>
  <si>
    <t>y = 0.8w-0.3{（ｗ-4650)/(11770-4650)}ｗ</t>
  </si>
  <si>
    <t>10600円超15060円以下</t>
  </si>
  <si>
    <t>15060円超</t>
  </si>
  <si>
    <t>y = 6777</t>
  </si>
  <si>
    <t>2000円以上3950円未満</t>
    <rPh sb="4" eb="5">
      <t>エン</t>
    </rPh>
    <rPh sb="5" eb="7">
      <t>イジョウ</t>
    </rPh>
    <rPh sb="11" eb="12">
      <t>エン</t>
    </rPh>
    <rPh sb="12" eb="14">
      <t>ミマン</t>
    </rPh>
    <phoneticPr fontId="12"/>
  </si>
  <si>
    <t>y = 0.8w-0.3{（ｗ-3950)/(11410-3950)}ｗ</t>
  </si>
  <si>
    <t>12290円超</t>
    <rPh sb="5" eb="6">
      <t>エン</t>
    </rPh>
    <rPh sb="6" eb="7">
      <t>チョウ</t>
    </rPh>
    <phoneticPr fontId="12"/>
  </si>
  <si>
    <t>13650円超</t>
  </si>
  <si>
    <t>y = 6145</t>
  </si>
  <si>
    <t>y = 6825</t>
  </si>
  <si>
    <t>y = 0.8w-0.35{（ｗ-3950)/(10230-3950)}ｗ</t>
  </si>
  <si>
    <t>y = 0.05w＋(10230×0.4）のいずれか低い方の額</t>
  </si>
  <si>
    <t>10230円超14540円以下</t>
  </si>
  <si>
    <t>14540円超</t>
  </si>
  <si>
    <t>y = 6543</t>
  </si>
  <si>
    <t>2050円以上4040円未満</t>
    <rPh sb="4" eb="5">
      <t>エン</t>
    </rPh>
    <rPh sb="5" eb="7">
      <t>イジョウ</t>
    </rPh>
    <rPh sb="11" eb="12">
      <t>エン</t>
    </rPh>
    <rPh sb="12" eb="14">
      <t>ミマン</t>
    </rPh>
    <phoneticPr fontId="12"/>
  </si>
  <si>
    <t>y = 0.8w-0.3{（ｗ-4040)/(11680-4040)}ｗ</t>
  </si>
  <si>
    <t>12580円超</t>
    <rPh sb="5" eb="6">
      <t>エン</t>
    </rPh>
    <rPh sb="6" eb="7">
      <t>チョウ</t>
    </rPh>
    <phoneticPr fontId="12"/>
  </si>
  <si>
    <t>13980円超</t>
  </si>
  <si>
    <t>15370円超</t>
  </si>
  <si>
    <t>y = 6290</t>
  </si>
  <si>
    <t>y = 6990</t>
  </si>
  <si>
    <t>y = 7685</t>
  </si>
  <si>
    <t>y = 0.8w-0.35{（ｗ-4040)/(10470-4040)}ｗ</t>
  </si>
  <si>
    <t>y = 0.05w＋(10470×0.4）のいずれか低い方の額</t>
  </si>
  <si>
    <t>10470円超14890円以下</t>
  </si>
  <si>
    <t>14890円超</t>
  </si>
  <si>
    <t>y = 6700</t>
  </si>
  <si>
    <t>y = 0.8w-0.3{（ｗ-4060)/(11750-4060)}ｗ</t>
  </si>
  <si>
    <t>15460円超</t>
  </si>
  <si>
    <t>y = 7730</t>
  </si>
  <si>
    <t>y = 0.8w-0.35{（ｗ-4060)/(10530-4060)}ｗ</t>
  </si>
  <si>
    <t>10530円超14980円以下</t>
  </si>
  <si>
    <t>14980円超</t>
  </si>
  <si>
    <t>y = 6741</t>
  </si>
  <si>
    <t>y = 0.8w-0.3{（ｗ-4080)/(11820-4080)}ｗ</t>
  </si>
  <si>
    <t>12730円超</t>
    <rPh sb="5" eb="6">
      <t>エン</t>
    </rPh>
    <rPh sb="6" eb="7">
      <t>チョウ</t>
    </rPh>
    <phoneticPr fontId="12"/>
  </si>
  <si>
    <t>y = 6365</t>
  </si>
  <si>
    <t>y = 0.8w-0.35{（ｗ-4080)/(10590-4080)}ｗ</t>
  </si>
  <si>
    <t>y = 0.05w＋(10590×0.4）のいずれか低い方の額</t>
  </si>
  <si>
    <t>10590円超15060円以下</t>
  </si>
  <si>
    <t>y = 0.8w-0.3{（ｗ-4100)/(11870-4100)}ｗ</t>
  </si>
  <si>
    <t>y = 0.8w-0.35{（ｗ-4100)/(10640-4100)}ｗ</t>
  </si>
  <si>
    <t>y = 0.05w＋(10640×0.4）のいずれか低い方の額</t>
  </si>
  <si>
    <t>10640円超15130円以下</t>
  </si>
  <si>
    <t>15130円超</t>
  </si>
  <si>
    <t>y = 6808</t>
  </si>
  <si>
    <t>15560円超</t>
  </si>
  <si>
    <t>y = 7780</t>
  </si>
  <si>
    <t>14430円超</t>
  </si>
  <si>
    <t>15870円超</t>
  </si>
  <si>
    <t>12990円超</t>
    <rPh sb="5" eb="6">
      <t>エン</t>
    </rPh>
    <rPh sb="6" eb="7">
      <t>チョウ</t>
    </rPh>
    <phoneticPr fontId="12"/>
  </si>
  <si>
    <t>y = 6495</t>
  </si>
  <si>
    <t>y = 7215</t>
  </si>
  <si>
    <t>y = 7935</t>
  </si>
  <si>
    <t>y = 0.8w-0.35{（ｗ-4160)/(10810-4160)}ｗ</t>
  </si>
  <si>
    <t>y = 0.05w＋(10810×0.4）のいずれか低い方の額</t>
  </si>
  <si>
    <t>10810円超15370円以下</t>
  </si>
  <si>
    <t>y = 6916</t>
  </si>
  <si>
    <t>y = 0.8w-0.3{（ｗ-4160)/(12060-4160)}ｗ</t>
  </si>
  <si>
    <t>H30.8.1～H31.7.31</t>
    <phoneticPr fontId="12"/>
  </si>
  <si>
    <t>H29.8.1～H30.7.31</t>
    <phoneticPr fontId="12"/>
  </si>
  <si>
    <t>14910円超</t>
    <phoneticPr fontId="12"/>
  </si>
  <si>
    <t>y = 7455</t>
    <phoneticPr fontId="12"/>
  </si>
  <si>
    <t>16410円超</t>
    <phoneticPr fontId="12"/>
  </si>
  <si>
    <t>y = 8205</t>
    <phoneticPr fontId="12"/>
  </si>
  <si>
    <t>10920円超15650円以下</t>
    <phoneticPr fontId="12"/>
  </si>
  <si>
    <t>15650円超</t>
    <phoneticPr fontId="12"/>
  </si>
  <si>
    <t>y = 7042</t>
    <phoneticPr fontId="12"/>
  </si>
  <si>
    <t>H28.8.1～H29.7.31</t>
    <phoneticPr fontId="12"/>
  </si>
  <si>
    <t>y = 0.05w＋(10460×0.4）のいずれか低い方の額</t>
    <phoneticPr fontId="12"/>
  </si>
  <si>
    <t>H27.8.1～H28.7.31</t>
    <phoneticPr fontId="12"/>
  </si>
  <si>
    <t>H26.8.1～H27.7.31</t>
    <phoneticPr fontId="12"/>
  </si>
  <si>
    <t>H25.8.1～H26.7.31</t>
    <phoneticPr fontId="12"/>
  </si>
  <si>
    <t>H24.8.1～H25.7.31</t>
    <phoneticPr fontId="12"/>
  </si>
  <si>
    <t>H23.8.1～H24.7.31</t>
    <phoneticPr fontId="12"/>
  </si>
  <si>
    <t>H22.8.1～H23.7.31</t>
    <phoneticPr fontId="12"/>
  </si>
  <si>
    <t>H21.8.1～H22.7.31</t>
    <phoneticPr fontId="12"/>
  </si>
  <si>
    <t>H20.8.1～H21.7.31</t>
    <phoneticPr fontId="12"/>
  </si>
  <si>
    <t>H19.8.1～H20.7.31</t>
    <phoneticPr fontId="12"/>
  </si>
  <si>
    <t>H18.8.1～H19.7.31</t>
    <phoneticPr fontId="12"/>
  </si>
  <si>
    <t>H17.8.1～H18.7.31</t>
    <phoneticPr fontId="12"/>
  </si>
  <si>
    <t>H16.8.1～H17.7.31</t>
    <phoneticPr fontId="12"/>
  </si>
  <si>
    <t>加算額利率</t>
    <rPh sb="0" eb="2">
      <t>カサン</t>
    </rPh>
    <rPh sb="2" eb="3">
      <t>ガク</t>
    </rPh>
    <rPh sb="3" eb="5">
      <t>リリツ</t>
    </rPh>
    <phoneticPr fontId="12"/>
  </si>
  <si>
    <t>差額×日数（暫定追加給付額）</t>
    <rPh sb="0" eb="2">
      <t>サガク</t>
    </rPh>
    <rPh sb="3" eb="5">
      <t>ニッスウ</t>
    </rPh>
    <rPh sb="6" eb="8">
      <t>ザンテイ</t>
    </rPh>
    <rPh sb="8" eb="10">
      <t>ツイカ</t>
    </rPh>
    <rPh sb="10" eb="12">
      <t>キュウフ</t>
    </rPh>
    <rPh sb="12" eb="13">
      <t>ガク</t>
    </rPh>
    <phoneticPr fontId="12"/>
  </si>
  <si>
    <t>暫定追加給付額＋加算額</t>
    <rPh sb="0" eb="2">
      <t>ザンテイ</t>
    </rPh>
    <rPh sb="2" eb="4">
      <t>ツイカ</t>
    </rPh>
    <rPh sb="4" eb="6">
      <t>キュウフ</t>
    </rPh>
    <rPh sb="6" eb="7">
      <t>ガク</t>
    </rPh>
    <rPh sb="8" eb="10">
      <t>カサン</t>
    </rPh>
    <rPh sb="10" eb="11">
      <t>ガク</t>
    </rPh>
    <phoneticPr fontId="12"/>
  </si>
  <si>
    <t>8/1またぎ判定（初日の年または末日の年）</t>
    <rPh sb="6" eb="8">
      <t>ハンテイ</t>
    </rPh>
    <rPh sb="9" eb="11">
      <t>ショニチ</t>
    </rPh>
    <rPh sb="12" eb="13">
      <t>ネン</t>
    </rPh>
    <rPh sb="16" eb="18">
      <t>マツジツ</t>
    </rPh>
    <rPh sb="19" eb="20">
      <t>ネン</t>
    </rPh>
    <phoneticPr fontId="12"/>
  </si>
  <si>
    <t>基本手当日額判定★</t>
    <rPh sb="0" eb="2">
      <t>キホン</t>
    </rPh>
    <rPh sb="2" eb="4">
      <t>テアテ</t>
    </rPh>
    <rPh sb="4" eb="6">
      <t>ニチガク</t>
    </rPh>
    <rPh sb="6" eb="8">
      <t>ハンテイ</t>
    </rPh>
    <phoneticPr fontId="12"/>
  </si>
  <si>
    <t>基本手当日額判定◆</t>
    <rPh sb="0" eb="2">
      <t>キホン</t>
    </rPh>
    <rPh sb="2" eb="4">
      <t>テアテ</t>
    </rPh>
    <rPh sb="4" eb="6">
      <t>ニチガク</t>
    </rPh>
    <rPh sb="6" eb="8">
      <t>ハンテイ</t>
    </rPh>
    <phoneticPr fontId="12"/>
  </si>
  <si>
    <t>基本手当日額判定☆</t>
    <rPh sb="0" eb="2">
      <t>キホン</t>
    </rPh>
    <rPh sb="2" eb="4">
      <t>テアテ</t>
    </rPh>
    <rPh sb="4" eb="6">
      <t>ニチガク</t>
    </rPh>
    <rPh sb="6" eb="8">
      <t>ハンテイ</t>
    </rPh>
    <phoneticPr fontId="12"/>
  </si>
  <si>
    <t>基本手当日額判定◇</t>
    <rPh sb="0" eb="2">
      <t>キホン</t>
    </rPh>
    <rPh sb="2" eb="4">
      <t>テアテ</t>
    </rPh>
    <rPh sb="4" eb="6">
      <t>ニチガク</t>
    </rPh>
    <rPh sb="6" eb="8">
      <t>ハンテイ</t>
    </rPh>
    <phoneticPr fontId="12"/>
  </si>
  <si>
    <t>8/1またがない場合の計算</t>
    <rPh sb="8" eb="10">
      <t>バアイ</t>
    </rPh>
    <rPh sb="11" eb="13">
      <t>ケイサン</t>
    </rPh>
    <phoneticPr fontId="12"/>
  </si>
  <si>
    <t>8/1またぐ場合の7/31までの計算</t>
    <rPh sb="6" eb="8">
      <t>バアイ</t>
    </rPh>
    <rPh sb="16" eb="18">
      <t>ケイサン</t>
    </rPh>
    <phoneticPr fontId="12"/>
  </si>
  <si>
    <t>8/1またぐ場合の8/1からの計算</t>
    <rPh sb="6" eb="8">
      <t>バアイ</t>
    </rPh>
    <rPh sb="15" eb="17">
      <t>ケイサン</t>
    </rPh>
    <phoneticPr fontId="12"/>
  </si>
  <si>
    <t>←　</t>
    <phoneticPr fontId="12"/>
  </si>
  <si>
    <t>361日以上又は0日以下の場合は非表示</t>
    <rPh sb="3" eb="4">
      <t>ニチ</t>
    </rPh>
    <rPh sb="4" eb="6">
      <t>イジョウ</t>
    </rPh>
    <rPh sb="6" eb="7">
      <t>マタ</t>
    </rPh>
    <rPh sb="9" eb="10">
      <t>ニチ</t>
    </rPh>
    <rPh sb="10" eb="12">
      <t>イカ</t>
    </rPh>
    <rPh sb="13" eb="15">
      <t>バアイ</t>
    </rPh>
    <rPh sb="16" eb="19">
      <t>ヒヒョウジ</t>
    </rPh>
    <phoneticPr fontId="12"/>
  </si>
  <si>
    <t>4970円以上12220円未以下</t>
    <rPh sb="4" eb="5">
      <t>エン</t>
    </rPh>
    <rPh sb="5" eb="7">
      <t>イジョウ</t>
    </rPh>
    <rPh sb="12" eb="13">
      <t>エン</t>
    </rPh>
    <rPh sb="13" eb="14">
      <t>ミ</t>
    </rPh>
    <rPh sb="14" eb="16">
      <t>イカ</t>
    </rPh>
    <phoneticPr fontId="12"/>
  </si>
  <si>
    <t>12220円超13510円以下</t>
    <rPh sb="5" eb="6">
      <t>エン</t>
    </rPh>
    <rPh sb="6" eb="7">
      <t>チョウ</t>
    </rPh>
    <rPh sb="12" eb="13">
      <t>エン</t>
    </rPh>
    <rPh sb="13" eb="15">
      <t>イカ</t>
    </rPh>
    <phoneticPr fontId="12"/>
  </si>
  <si>
    <t>4940円以上12150円以下</t>
    <rPh sb="4" eb="5">
      <t>エン</t>
    </rPh>
    <rPh sb="5" eb="7">
      <t>イジョウ</t>
    </rPh>
    <rPh sb="12" eb="13">
      <t>エン</t>
    </rPh>
    <rPh sb="13" eb="15">
      <t>イカ</t>
    </rPh>
    <phoneticPr fontId="12"/>
  </si>
  <si>
    <t>12150円超13430円以下</t>
    <rPh sb="5" eb="6">
      <t>エン</t>
    </rPh>
    <rPh sb="6" eb="7">
      <t>チョウ</t>
    </rPh>
    <rPh sb="12" eb="13">
      <t>エン</t>
    </rPh>
    <rPh sb="13" eb="15">
      <t>イカ</t>
    </rPh>
    <phoneticPr fontId="12"/>
  </si>
  <si>
    <t>12150円超14920円以下</t>
    <rPh sb="5" eb="6">
      <t>エン</t>
    </rPh>
    <rPh sb="6" eb="7">
      <t>チョウ</t>
    </rPh>
    <rPh sb="12" eb="13">
      <t>エン</t>
    </rPh>
    <rPh sb="13" eb="15">
      <t>イカ</t>
    </rPh>
    <phoneticPr fontId="12"/>
  </si>
  <si>
    <t>12150円超16420円以下</t>
    <rPh sb="5" eb="6">
      <t>エン</t>
    </rPh>
    <rPh sb="6" eb="7">
      <t>チョウ</t>
    </rPh>
    <rPh sb="12" eb="13">
      <t>エン</t>
    </rPh>
    <rPh sb="13" eb="15">
      <t>イカ</t>
    </rPh>
    <phoneticPr fontId="12"/>
  </si>
  <si>
    <t>4940円以上10930円以下</t>
    <rPh sb="4" eb="5">
      <t>エン</t>
    </rPh>
    <rPh sb="5" eb="7">
      <t>イジョウ</t>
    </rPh>
    <rPh sb="12" eb="13">
      <t>エン</t>
    </rPh>
    <rPh sb="13" eb="15">
      <t>イカ</t>
    </rPh>
    <phoneticPr fontId="12"/>
  </si>
  <si>
    <t>4590円以上11640円以下</t>
    <rPh sb="4" eb="5">
      <t>エン</t>
    </rPh>
    <rPh sb="5" eb="7">
      <t>イジョウ</t>
    </rPh>
    <rPh sb="12" eb="13">
      <t>エン</t>
    </rPh>
    <rPh sb="13" eb="15">
      <t>イカ</t>
    </rPh>
    <phoneticPr fontId="12"/>
  </si>
  <si>
    <t>11640円超12760円以下</t>
    <rPh sb="5" eb="6">
      <t>エン</t>
    </rPh>
    <rPh sb="6" eb="7">
      <t>チョウ</t>
    </rPh>
    <rPh sb="12" eb="13">
      <t>エン</t>
    </rPh>
    <rPh sb="13" eb="15">
      <t>イカ</t>
    </rPh>
    <phoneticPr fontId="12"/>
  </si>
  <si>
    <t>11640円超14160円以下</t>
    <rPh sb="5" eb="6">
      <t>エン</t>
    </rPh>
    <rPh sb="6" eb="7">
      <t>チョウ</t>
    </rPh>
    <rPh sb="12" eb="13">
      <t>エン</t>
    </rPh>
    <rPh sb="13" eb="15">
      <t>イカ</t>
    </rPh>
    <phoneticPr fontId="12"/>
  </si>
  <si>
    <t>11640円超15570円以下</t>
    <rPh sb="5" eb="6">
      <t>エン</t>
    </rPh>
    <rPh sb="6" eb="7">
      <t>チョウ</t>
    </rPh>
    <rPh sb="12" eb="13">
      <t>エン</t>
    </rPh>
    <rPh sb="13" eb="15">
      <t>イカ</t>
    </rPh>
    <phoneticPr fontId="12"/>
  </si>
  <si>
    <t>4590円以上10470円以下</t>
    <rPh sb="4" eb="5">
      <t>エン</t>
    </rPh>
    <rPh sb="5" eb="7">
      <t>イジョウ</t>
    </rPh>
    <rPh sb="12" eb="13">
      <t>エン</t>
    </rPh>
    <rPh sb="13" eb="15">
      <t>イカ</t>
    </rPh>
    <phoneticPr fontId="12"/>
  </si>
  <si>
    <t>10470円超14870円以下</t>
    <phoneticPr fontId="12"/>
  </si>
  <si>
    <t>4620円以上11710円以下</t>
    <rPh sb="4" eb="5">
      <t>エン</t>
    </rPh>
    <rPh sb="5" eb="7">
      <t>イジョウ</t>
    </rPh>
    <rPh sb="12" eb="13">
      <t>エン</t>
    </rPh>
    <rPh sb="13" eb="15">
      <t>イカ</t>
    </rPh>
    <phoneticPr fontId="12"/>
  </si>
  <si>
    <t>11710円超上12830円以下</t>
    <rPh sb="5" eb="6">
      <t>エン</t>
    </rPh>
    <rPh sb="6" eb="7">
      <t>チョウ</t>
    </rPh>
    <rPh sb="7" eb="8">
      <t>ジョウ</t>
    </rPh>
    <rPh sb="13" eb="14">
      <t>エン</t>
    </rPh>
    <rPh sb="14" eb="16">
      <t>イカ</t>
    </rPh>
    <phoneticPr fontId="12"/>
  </si>
  <si>
    <t>11710円超14240円以下</t>
    <rPh sb="5" eb="6">
      <t>エン</t>
    </rPh>
    <rPh sb="6" eb="7">
      <t>チョウ</t>
    </rPh>
    <rPh sb="12" eb="13">
      <t>エン</t>
    </rPh>
    <rPh sb="13" eb="15">
      <t>イカ</t>
    </rPh>
    <phoneticPr fontId="12"/>
  </si>
  <si>
    <t>11710円超15660円以下</t>
    <rPh sb="5" eb="6">
      <t>エン</t>
    </rPh>
    <rPh sb="6" eb="7">
      <t>チョウ</t>
    </rPh>
    <rPh sb="12" eb="13">
      <t>エン</t>
    </rPh>
    <rPh sb="13" eb="15">
      <t>イカ</t>
    </rPh>
    <phoneticPr fontId="12"/>
  </si>
  <si>
    <t>4620円以上10530円以下</t>
    <rPh sb="4" eb="5">
      <t>エン</t>
    </rPh>
    <rPh sb="5" eb="7">
      <t>イジョウ</t>
    </rPh>
    <rPh sb="12" eb="13">
      <t>エン</t>
    </rPh>
    <rPh sb="13" eb="15">
      <t>イカ</t>
    </rPh>
    <phoneticPr fontId="12"/>
  </si>
  <si>
    <t>4610円以上11690円以下</t>
    <rPh sb="4" eb="5">
      <t>エン</t>
    </rPh>
    <rPh sb="5" eb="7">
      <t>イジョウ</t>
    </rPh>
    <rPh sb="12" eb="13">
      <t>エン</t>
    </rPh>
    <rPh sb="13" eb="15">
      <t>イカ</t>
    </rPh>
    <phoneticPr fontId="12"/>
  </si>
  <si>
    <t>11690円超12810円以下</t>
    <rPh sb="5" eb="6">
      <t>エン</t>
    </rPh>
    <rPh sb="6" eb="7">
      <t>チョウ</t>
    </rPh>
    <rPh sb="12" eb="13">
      <t>エン</t>
    </rPh>
    <rPh sb="13" eb="15">
      <t>イカ</t>
    </rPh>
    <phoneticPr fontId="12"/>
  </si>
  <si>
    <t>11690円超14220円以下</t>
    <rPh sb="5" eb="6">
      <t>エン</t>
    </rPh>
    <rPh sb="6" eb="7">
      <t>チョウ</t>
    </rPh>
    <rPh sb="12" eb="13">
      <t>エン</t>
    </rPh>
    <rPh sb="13" eb="15">
      <t>イカ</t>
    </rPh>
    <phoneticPr fontId="12"/>
  </si>
  <si>
    <t>11690円超15640円以下</t>
    <rPh sb="5" eb="6">
      <t>エン</t>
    </rPh>
    <rPh sb="6" eb="7">
      <t>チョウ</t>
    </rPh>
    <rPh sb="12" eb="13">
      <t>エン</t>
    </rPh>
    <rPh sb="13" eb="15">
      <t>イカ</t>
    </rPh>
    <phoneticPr fontId="12"/>
  </si>
  <si>
    <t>4610円以上10510円以下</t>
    <rPh sb="4" eb="5">
      <t>エン</t>
    </rPh>
    <rPh sb="5" eb="7">
      <t>イジョウ</t>
    </rPh>
    <rPh sb="12" eb="13">
      <t>エン</t>
    </rPh>
    <rPh sb="13" eb="15">
      <t>イカ</t>
    </rPh>
    <phoneticPr fontId="12"/>
  </si>
  <si>
    <t>11690円超14230円以下</t>
    <rPh sb="5" eb="6">
      <t>エン</t>
    </rPh>
    <rPh sb="6" eb="7">
      <t>チョウ</t>
    </rPh>
    <rPh sb="12" eb="13">
      <t>エン</t>
    </rPh>
    <rPh sb="13" eb="15">
      <t>イカ</t>
    </rPh>
    <phoneticPr fontId="12"/>
  </si>
  <si>
    <t>11690円超15650円以下</t>
    <rPh sb="5" eb="6">
      <t>エン</t>
    </rPh>
    <rPh sb="6" eb="7">
      <t>チョウ</t>
    </rPh>
    <rPh sb="12" eb="13">
      <t>エン</t>
    </rPh>
    <rPh sb="13" eb="15">
      <t>イカ</t>
    </rPh>
    <phoneticPr fontId="12"/>
  </si>
  <si>
    <t>4640円以上11750円以下</t>
    <rPh sb="4" eb="5">
      <t>エン</t>
    </rPh>
    <rPh sb="5" eb="7">
      <t>イジョウ</t>
    </rPh>
    <rPh sb="12" eb="13">
      <t>エン</t>
    </rPh>
    <rPh sb="13" eb="15">
      <t>イカ</t>
    </rPh>
    <phoneticPr fontId="12"/>
  </si>
  <si>
    <t>11750円超12880円以下</t>
    <rPh sb="5" eb="6">
      <t>エン</t>
    </rPh>
    <rPh sb="6" eb="7">
      <t>チョウ</t>
    </rPh>
    <rPh sb="12" eb="13">
      <t>エン</t>
    </rPh>
    <rPh sb="13" eb="15">
      <t>イカ</t>
    </rPh>
    <phoneticPr fontId="12"/>
  </si>
  <si>
    <t>11750円超14310円以下</t>
    <rPh sb="5" eb="6">
      <t>エン</t>
    </rPh>
    <rPh sb="6" eb="7">
      <t>チョウ</t>
    </rPh>
    <rPh sb="12" eb="13">
      <t>エン</t>
    </rPh>
    <rPh sb="13" eb="15">
      <t>イカ</t>
    </rPh>
    <phoneticPr fontId="12"/>
  </si>
  <si>
    <t>11750円超15740円以下</t>
    <rPh sb="5" eb="6">
      <t>エン</t>
    </rPh>
    <rPh sb="6" eb="7">
      <t>チョウ</t>
    </rPh>
    <rPh sb="12" eb="13">
      <t>エン</t>
    </rPh>
    <rPh sb="13" eb="15">
      <t>イカ</t>
    </rPh>
    <phoneticPr fontId="12"/>
  </si>
  <si>
    <t>4640円以上10570円以下</t>
    <rPh sb="4" eb="5">
      <t>エン</t>
    </rPh>
    <rPh sb="5" eb="7">
      <t>イジョウ</t>
    </rPh>
    <rPh sb="12" eb="13">
      <t>エン</t>
    </rPh>
    <rPh sb="13" eb="15">
      <t>イカ</t>
    </rPh>
    <phoneticPr fontId="12"/>
  </si>
  <si>
    <t>4650円以上11780円以下</t>
    <rPh sb="4" eb="5">
      <t>エン</t>
    </rPh>
    <rPh sb="5" eb="7">
      <t>イジョウ</t>
    </rPh>
    <rPh sb="12" eb="13">
      <t>エン</t>
    </rPh>
    <rPh sb="13" eb="15">
      <t>イカ</t>
    </rPh>
    <phoneticPr fontId="12"/>
  </si>
  <si>
    <t>11780円超12910円以下</t>
    <rPh sb="5" eb="6">
      <t>エン</t>
    </rPh>
    <rPh sb="6" eb="7">
      <t>チョウ</t>
    </rPh>
    <rPh sb="12" eb="13">
      <t>エン</t>
    </rPh>
    <rPh sb="13" eb="15">
      <t>イカ</t>
    </rPh>
    <phoneticPr fontId="12"/>
  </si>
  <si>
    <t>11780円超14340円以下</t>
    <rPh sb="5" eb="6">
      <t>エン</t>
    </rPh>
    <rPh sb="6" eb="7">
      <t>チョウ</t>
    </rPh>
    <rPh sb="12" eb="13">
      <t>エン</t>
    </rPh>
    <rPh sb="13" eb="15">
      <t>イカ</t>
    </rPh>
    <phoneticPr fontId="12"/>
  </si>
  <si>
    <t>11780円超15780円以下</t>
    <rPh sb="5" eb="6">
      <t>エン</t>
    </rPh>
    <rPh sb="6" eb="7">
      <t>チョウ</t>
    </rPh>
    <rPh sb="12" eb="13">
      <t>エン</t>
    </rPh>
    <rPh sb="13" eb="15">
      <t>イカ</t>
    </rPh>
    <phoneticPr fontId="12"/>
  </si>
  <si>
    <t>4650円以上10600円以下</t>
    <rPh sb="4" eb="5">
      <t>エン</t>
    </rPh>
    <rPh sb="5" eb="7">
      <t>イジョウ</t>
    </rPh>
    <rPh sb="12" eb="13">
      <t>エン</t>
    </rPh>
    <rPh sb="13" eb="15">
      <t>イカ</t>
    </rPh>
    <phoneticPr fontId="12"/>
  </si>
  <si>
    <t>3970円以上11490円以下</t>
    <rPh sb="4" eb="5">
      <t>エン</t>
    </rPh>
    <rPh sb="5" eb="7">
      <t>イジョウ</t>
    </rPh>
    <rPh sb="12" eb="13">
      <t>エン</t>
    </rPh>
    <rPh sb="13" eb="15">
      <t>イカ</t>
    </rPh>
    <phoneticPr fontId="12"/>
  </si>
  <si>
    <t>11490円超12360円以下</t>
    <rPh sb="5" eb="6">
      <t>エン</t>
    </rPh>
    <rPh sb="6" eb="7">
      <t>チョウ</t>
    </rPh>
    <rPh sb="12" eb="13">
      <t>エン</t>
    </rPh>
    <rPh sb="13" eb="15">
      <t>イカ</t>
    </rPh>
    <phoneticPr fontId="12"/>
  </si>
  <si>
    <t>11490円超13730円以下</t>
    <rPh sb="5" eb="6">
      <t>エン</t>
    </rPh>
    <rPh sb="6" eb="7">
      <t>チョウ</t>
    </rPh>
    <rPh sb="12" eb="13">
      <t>エン</t>
    </rPh>
    <rPh sb="13" eb="15">
      <t>イカ</t>
    </rPh>
    <phoneticPr fontId="12"/>
  </si>
  <si>
    <t>11490円超15120円以下</t>
    <rPh sb="5" eb="6">
      <t>エン</t>
    </rPh>
    <rPh sb="6" eb="7">
      <t>チョウ</t>
    </rPh>
    <rPh sb="12" eb="13">
      <t>エン</t>
    </rPh>
    <rPh sb="13" eb="15">
      <t>イカ</t>
    </rPh>
    <phoneticPr fontId="12"/>
  </si>
  <si>
    <t>3970円以上10290円以下</t>
    <rPh sb="4" eb="5">
      <t>エン</t>
    </rPh>
    <rPh sb="5" eb="7">
      <t>イジョウ</t>
    </rPh>
    <rPh sb="12" eb="13">
      <t>エン</t>
    </rPh>
    <rPh sb="13" eb="15">
      <t>イカ</t>
    </rPh>
    <phoneticPr fontId="12"/>
  </si>
  <si>
    <t>4060円以上11760円以下</t>
    <rPh sb="4" eb="5">
      <t>エン</t>
    </rPh>
    <rPh sb="5" eb="7">
      <t>イジョウ</t>
    </rPh>
    <rPh sb="12" eb="13">
      <t>エン</t>
    </rPh>
    <rPh sb="13" eb="15">
      <t>イカ</t>
    </rPh>
    <phoneticPr fontId="12"/>
  </si>
  <si>
    <t>11760円超12660円以下</t>
    <rPh sb="5" eb="6">
      <t>エン</t>
    </rPh>
    <rPh sb="6" eb="7">
      <t>チョウ</t>
    </rPh>
    <rPh sb="12" eb="13">
      <t>エン</t>
    </rPh>
    <phoneticPr fontId="12"/>
  </si>
  <si>
    <t>4060円以上11760円以下</t>
    <rPh sb="4" eb="5">
      <t>エン</t>
    </rPh>
    <rPh sb="5" eb="7">
      <t>イジョウ</t>
    </rPh>
    <rPh sb="12" eb="13">
      <t>エン</t>
    </rPh>
    <phoneticPr fontId="12"/>
  </si>
  <si>
    <t>11760円超14060円以下</t>
    <rPh sb="5" eb="6">
      <t>エン</t>
    </rPh>
    <rPh sb="6" eb="7">
      <t>チョウ</t>
    </rPh>
    <rPh sb="12" eb="13">
      <t>エン</t>
    </rPh>
    <phoneticPr fontId="12"/>
  </si>
  <si>
    <t>11760円超15480円以下</t>
    <rPh sb="5" eb="6">
      <t>エン</t>
    </rPh>
    <rPh sb="6" eb="7">
      <t>チョウ</t>
    </rPh>
    <rPh sb="12" eb="13">
      <t>エン</t>
    </rPh>
    <phoneticPr fontId="12"/>
  </si>
  <si>
    <t>4060円以上10540円以下</t>
    <rPh sb="4" eb="5">
      <t>エン</t>
    </rPh>
    <rPh sb="5" eb="7">
      <t>イジョウ</t>
    </rPh>
    <rPh sb="12" eb="13">
      <t>エン</t>
    </rPh>
    <phoneticPr fontId="12"/>
  </si>
  <si>
    <t>4080円以上11830円以下</t>
    <rPh sb="4" eb="5">
      <t>エン</t>
    </rPh>
    <rPh sb="5" eb="7">
      <t>イジョウ</t>
    </rPh>
    <rPh sb="12" eb="13">
      <t>エン</t>
    </rPh>
    <phoneticPr fontId="12"/>
  </si>
  <si>
    <t>11830円超12740円以下</t>
    <rPh sb="5" eb="6">
      <t>エン</t>
    </rPh>
    <rPh sb="6" eb="7">
      <t>チョウ</t>
    </rPh>
    <rPh sb="12" eb="13">
      <t>エン</t>
    </rPh>
    <phoneticPr fontId="12"/>
  </si>
  <si>
    <t>11830円超14140円以下</t>
    <rPh sb="5" eb="6">
      <t>エン</t>
    </rPh>
    <rPh sb="6" eb="7">
      <t>チョウ</t>
    </rPh>
    <rPh sb="12" eb="13">
      <t>エン</t>
    </rPh>
    <phoneticPr fontId="12"/>
  </si>
  <si>
    <t>11830円超15570円以下</t>
    <rPh sb="5" eb="6">
      <t>エン</t>
    </rPh>
    <rPh sb="6" eb="7">
      <t>チョウ</t>
    </rPh>
    <rPh sb="12" eb="13">
      <t>エン</t>
    </rPh>
    <phoneticPr fontId="12"/>
  </si>
  <si>
    <t>4080円以上10600円以下</t>
    <rPh sb="4" eb="5">
      <t>エン</t>
    </rPh>
    <rPh sb="5" eb="7">
      <t>イジョウ</t>
    </rPh>
    <rPh sb="12" eb="13">
      <t>エン</t>
    </rPh>
    <phoneticPr fontId="12"/>
  </si>
  <si>
    <t>4100円以上11890円以下</t>
    <rPh sb="4" eb="5">
      <t>エン</t>
    </rPh>
    <rPh sb="5" eb="7">
      <t>イジョウ</t>
    </rPh>
    <rPh sb="12" eb="13">
      <t>エン</t>
    </rPh>
    <phoneticPr fontId="12"/>
  </si>
  <si>
    <t>11890円超12810円以下</t>
    <rPh sb="5" eb="6">
      <t>エン</t>
    </rPh>
    <rPh sb="6" eb="7">
      <t>チョウ</t>
    </rPh>
    <rPh sb="12" eb="13">
      <t>エン</t>
    </rPh>
    <phoneticPr fontId="12"/>
  </si>
  <si>
    <t>11890円超14220円以下</t>
    <rPh sb="5" eb="6">
      <t>エン</t>
    </rPh>
    <rPh sb="6" eb="7">
      <t>チョウ</t>
    </rPh>
    <rPh sb="12" eb="13">
      <t>エン</t>
    </rPh>
    <phoneticPr fontId="12"/>
  </si>
  <si>
    <t>11890円超15650円以下</t>
    <rPh sb="5" eb="6">
      <t>エン</t>
    </rPh>
    <rPh sb="6" eb="7">
      <t>チョウ</t>
    </rPh>
    <rPh sb="12" eb="13">
      <t>エン</t>
    </rPh>
    <phoneticPr fontId="12"/>
  </si>
  <si>
    <r>
      <t>4100円以上10660円</t>
    </r>
    <r>
      <rPr>
        <sz val="11"/>
        <color theme="1"/>
        <rFont val="ＭＳ Ｐゴシック"/>
        <family val="3"/>
        <charset val="128"/>
        <scheme val="minor"/>
      </rPr>
      <t>以下</t>
    </r>
    <rPh sb="4" eb="5">
      <t>エン</t>
    </rPh>
    <rPh sb="5" eb="7">
      <t>イジョウ</t>
    </rPh>
    <rPh sb="12" eb="13">
      <t>エン</t>
    </rPh>
    <phoneticPr fontId="12"/>
  </si>
  <si>
    <t>4100円以上10660円以下</t>
    <rPh sb="4" eb="5">
      <t>エン</t>
    </rPh>
    <rPh sb="5" eb="7">
      <t>イジョウ</t>
    </rPh>
    <rPh sb="12" eb="13">
      <t>エン</t>
    </rPh>
    <phoneticPr fontId="12"/>
  </si>
  <si>
    <t>4120円以上11940円以下</t>
    <rPh sb="4" eb="5">
      <t>エン</t>
    </rPh>
    <rPh sb="5" eb="7">
      <t>イジョウ</t>
    </rPh>
    <rPh sb="12" eb="13">
      <t>エン</t>
    </rPh>
    <phoneticPr fontId="12"/>
  </si>
  <si>
    <t>11940円超12870円以下</t>
    <rPh sb="5" eb="6">
      <t>エン</t>
    </rPh>
    <rPh sb="6" eb="7">
      <t>チョウ</t>
    </rPh>
    <rPh sb="12" eb="13">
      <t>エン</t>
    </rPh>
    <phoneticPr fontId="12"/>
  </si>
  <si>
    <t>11940円超14280円以下</t>
    <rPh sb="5" eb="6">
      <t>エン</t>
    </rPh>
    <rPh sb="6" eb="7">
      <t>チョウ</t>
    </rPh>
    <rPh sb="12" eb="13">
      <t>エン</t>
    </rPh>
    <phoneticPr fontId="12"/>
  </si>
  <si>
    <t>11940円超15720円以下</t>
    <rPh sb="5" eb="6">
      <t>エン</t>
    </rPh>
    <rPh sb="6" eb="7">
      <t>チョウ</t>
    </rPh>
    <rPh sb="12" eb="13">
      <t>エン</t>
    </rPh>
    <rPh sb="13" eb="15">
      <t>イカ</t>
    </rPh>
    <phoneticPr fontId="12"/>
  </si>
  <si>
    <t>4120円以上10710円以下</t>
    <rPh sb="4" eb="5">
      <t>エン</t>
    </rPh>
    <rPh sb="5" eb="7">
      <t>イジョウ</t>
    </rPh>
    <rPh sb="12" eb="13">
      <t>エン</t>
    </rPh>
    <phoneticPr fontId="12"/>
  </si>
  <si>
    <t>4100円以上11900円以下</t>
    <rPh sb="4" eb="5">
      <t>エン</t>
    </rPh>
    <rPh sb="5" eb="7">
      <t>イジョウ</t>
    </rPh>
    <rPh sb="12" eb="13">
      <t>エン</t>
    </rPh>
    <phoneticPr fontId="12"/>
  </si>
  <si>
    <t>11900円超12820円以下</t>
    <rPh sb="5" eb="6">
      <t>エン</t>
    </rPh>
    <rPh sb="6" eb="7">
      <t>チョウ</t>
    </rPh>
    <rPh sb="12" eb="13">
      <t>エン</t>
    </rPh>
    <phoneticPr fontId="12"/>
  </si>
  <si>
    <t>11900円超14230円以下</t>
    <rPh sb="5" eb="6">
      <t>エン</t>
    </rPh>
    <rPh sb="6" eb="7">
      <t>チョウ</t>
    </rPh>
    <rPh sb="12" eb="13">
      <t>エン</t>
    </rPh>
    <phoneticPr fontId="12"/>
  </si>
  <si>
    <t>11900円超15660円以下</t>
    <rPh sb="5" eb="6">
      <t>エン</t>
    </rPh>
    <rPh sb="6" eb="7">
      <t>チョウ</t>
    </rPh>
    <rPh sb="12" eb="13">
      <t>エン</t>
    </rPh>
    <phoneticPr fontId="12"/>
  </si>
  <si>
    <t>4100円以上10670円以下</t>
    <rPh sb="4" eb="5">
      <t>エン</t>
    </rPh>
    <rPh sb="5" eb="7">
      <t>イジョウ</t>
    </rPh>
    <rPh sb="12" eb="13">
      <t>エン</t>
    </rPh>
    <phoneticPr fontId="12"/>
  </si>
  <si>
    <t>4160円以上12080円以下</t>
    <rPh sb="4" eb="5">
      <t>エン</t>
    </rPh>
    <rPh sb="5" eb="7">
      <t>イジョウ</t>
    </rPh>
    <rPh sb="12" eb="13">
      <t>エン</t>
    </rPh>
    <phoneticPr fontId="12"/>
  </si>
  <si>
    <t>12080円超13010円以下</t>
    <rPh sb="5" eb="6">
      <t>エン</t>
    </rPh>
    <rPh sb="6" eb="7">
      <t>チョウ</t>
    </rPh>
    <rPh sb="12" eb="13">
      <t>エン</t>
    </rPh>
    <phoneticPr fontId="12"/>
  </si>
  <si>
    <t>12080円超14450円以下</t>
    <rPh sb="5" eb="6">
      <t>エン</t>
    </rPh>
    <rPh sb="6" eb="7">
      <t>チョウ</t>
    </rPh>
    <rPh sb="12" eb="13">
      <t>エン</t>
    </rPh>
    <phoneticPr fontId="12"/>
  </si>
  <si>
    <t>12080円超15900円以下</t>
    <rPh sb="5" eb="6">
      <t>エン</t>
    </rPh>
    <rPh sb="6" eb="7">
      <t>チョウ</t>
    </rPh>
    <rPh sb="12" eb="13">
      <t>エン</t>
    </rPh>
    <phoneticPr fontId="12"/>
  </si>
  <si>
    <t>4160円以上10830円以下</t>
    <rPh sb="4" eb="5">
      <t>エン</t>
    </rPh>
    <rPh sb="5" eb="7">
      <t>イジョウ</t>
    </rPh>
    <rPh sb="12" eb="13">
      <t>エン</t>
    </rPh>
    <phoneticPr fontId="12"/>
  </si>
  <si>
    <t>4970円以上12210円以下</t>
    <rPh sb="4" eb="5">
      <t>エン</t>
    </rPh>
    <rPh sb="5" eb="7">
      <t>イジョウ</t>
    </rPh>
    <rPh sb="12" eb="13">
      <t>エン</t>
    </rPh>
    <phoneticPr fontId="12"/>
  </si>
  <si>
    <t>12210円超13500円以下</t>
    <rPh sb="5" eb="6">
      <t>エン</t>
    </rPh>
    <rPh sb="6" eb="7">
      <t>チョウ</t>
    </rPh>
    <rPh sb="12" eb="13">
      <t>エン</t>
    </rPh>
    <phoneticPr fontId="12"/>
  </si>
  <si>
    <t>4940円以上12140円以下</t>
    <rPh sb="4" eb="5">
      <t>エン</t>
    </rPh>
    <rPh sb="5" eb="7">
      <t>イジョウ</t>
    </rPh>
    <rPh sb="12" eb="13">
      <t>エン</t>
    </rPh>
    <phoneticPr fontId="12"/>
  </si>
  <si>
    <t>12140円超13420円以下</t>
    <rPh sb="5" eb="6">
      <t>エン</t>
    </rPh>
    <rPh sb="6" eb="7">
      <t>チョウ</t>
    </rPh>
    <rPh sb="12" eb="13">
      <t>エン</t>
    </rPh>
    <phoneticPr fontId="12"/>
  </si>
  <si>
    <t>12140円超14910円以下</t>
    <rPh sb="5" eb="6">
      <t>エン</t>
    </rPh>
    <rPh sb="6" eb="7">
      <t>チョウ</t>
    </rPh>
    <rPh sb="12" eb="13">
      <t>エン</t>
    </rPh>
    <phoneticPr fontId="12"/>
  </si>
  <si>
    <t>12140円超16410円以下</t>
    <rPh sb="5" eb="6">
      <t>エン</t>
    </rPh>
    <rPh sb="6" eb="7">
      <t>チョウ</t>
    </rPh>
    <rPh sb="12" eb="13">
      <t>エン</t>
    </rPh>
    <phoneticPr fontId="12"/>
  </si>
  <si>
    <t>4940円以上10920円以下</t>
    <rPh sb="4" eb="5">
      <t>エン</t>
    </rPh>
    <rPh sb="5" eb="7">
      <t>イジョウ</t>
    </rPh>
    <rPh sb="12" eb="13">
      <t>エン</t>
    </rPh>
    <phoneticPr fontId="12"/>
  </si>
  <si>
    <t>4580円以上11610円以下</t>
    <rPh sb="4" eb="5">
      <t>エン</t>
    </rPh>
    <rPh sb="5" eb="7">
      <t>イジョウ</t>
    </rPh>
    <rPh sb="12" eb="13">
      <t>エン</t>
    </rPh>
    <phoneticPr fontId="12"/>
  </si>
  <si>
    <t>11610円超12740円以下</t>
    <rPh sb="5" eb="6">
      <t>エン</t>
    </rPh>
    <rPh sb="6" eb="7">
      <t>チョウ</t>
    </rPh>
    <rPh sb="12" eb="13">
      <t>エン</t>
    </rPh>
    <phoneticPr fontId="12"/>
  </si>
  <si>
    <t>11610円超14150円以下</t>
    <rPh sb="5" eb="6">
      <t>エン</t>
    </rPh>
    <rPh sb="6" eb="7">
      <t>チョウ</t>
    </rPh>
    <rPh sb="12" eb="13">
      <t>エン</t>
    </rPh>
    <phoneticPr fontId="12"/>
  </si>
  <si>
    <t>11610円超15550円以下</t>
    <rPh sb="5" eb="6">
      <t>エン</t>
    </rPh>
    <rPh sb="6" eb="7">
      <t>チョウ</t>
    </rPh>
    <rPh sb="12" eb="13">
      <t>エン</t>
    </rPh>
    <phoneticPr fontId="12"/>
  </si>
  <si>
    <t>4580円以上10460円以下</t>
    <rPh sb="4" eb="5">
      <t>エン</t>
    </rPh>
    <rPh sb="5" eb="7">
      <t>イジョウ</t>
    </rPh>
    <rPh sb="12" eb="13">
      <t>エン</t>
    </rPh>
    <phoneticPr fontId="12"/>
  </si>
  <si>
    <t>4580円以上10460円以下</t>
    <rPh sb="4" eb="5">
      <t>エン</t>
    </rPh>
    <rPh sb="5" eb="7">
      <t>イジョウ</t>
    </rPh>
    <rPh sb="12" eb="13">
      <t>エン</t>
    </rPh>
    <rPh sb="13" eb="15">
      <t>イカ</t>
    </rPh>
    <phoneticPr fontId="12"/>
  </si>
  <si>
    <t>4600円以上11660円以下</t>
    <rPh sb="4" eb="5">
      <t>エン</t>
    </rPh>
    <rPh sb="5" eb="7">
      <t>イジョウ</t>
    </rPh>
    <rPh sb="12" eb="13">
      <t>エン</t>
    </rPh>
    <phoneticPr fontId="12"/>
  </si>
  <si>
    <t>11660円超12790円以下</t>
    <rPh sb="5" eb="6">
      <t>エン</t>
    </rPh>
    <rPh sb="6" eb="7">
      <t>チョウ</t>
    </rPh>
    <rPh sb="12" eb="13">
      <t>エン</t>
    </rPh>
    <phoneticPr fontId="12"/>
  </si>
  <si>
    <t>11660円超14210円以下</t>
    <rPh sb="5" eb="6">
      <t>エン</t>
    </rPh>
    <rPh sb="6" eb="7">
      <t>チョウ</t>
    </rPh>
    <rPh sb="12" eb="13">
      <t>エン</t>
    </rPh>
    <phoneticPr fontId="12"/>
  </si>
  <si>
    <t>11660円超15620円以下</t>
    <rPh sb="5" eb="6">
      <t>エン</t>
    </rPh>
    <rPh sb="6" eb="7">
      <t>チョウ</t>
    </rPh>
    <rPh sb="12" eb="13">
      <t>エン</t>
    </rPh>
    <phoneticPr fontId="12"/>
  </si>
  <si>
    <t>4600円以上10500円以下</t>
    <rPh sb="4" eb="5">
      <t>エン</t>
    </rPh>
    <rPh sb="5" eb="7">
      <t>イジョウ</t>
    </rPh>
    <rPh sb="12" eb="13">
      <t>エン</t>
    </rPh>
    <phoneticPr fontId="12"/>
  </si>
  <si>
    <t>4600円以上11650円以下</t>
    <rPh sb="4" eb="5">
      <t>エン</t>
    </rPh>
    <rPh sb="5" eb="7">
      <t>イジョウ</t>
    </rPh>
    <rPh sb="12" eb="13">
      <t>エン</t>
    </rPh>
    <phoneticPr fontId="12"/>
  </si>
  <si>
    <t>11650円超12780円以下</t>
    <rPh sb="5" eb="6">
      <t>エン</t>
    </rPh>
    <rPh sb="6" eb="7">
      <t>チョウ</t>
    </rPh>
    <rPh sb="12" eb="13">
      <t>エン</t>
    </rPh>
    <phoneticPr fontId="12"/>
  </si>
  <si>
    <t>11650円超14200円以下</t>
    <rPh sb="5" eb="6">
      <t>エン</t>
    </rPh>
    <rPh sb="6" eb="7">
      <t>チョウ</t>
    </rPh>
    <rPh sb="12" eb="13">
      <t>エン</t>
    </rPh>
    <phoneticPr fontId="12"/>
  </si>
  <si>
    <t>11650円超15610円以下</t>
    <rPh sb="5" eb="6">
      <t>エン</t>
    </rPh>
    <rPh sb="6" eb="7">
      <t>チョウ</t>
    </rPh>
    <rPh sb="12" eb="13">
      <t>エン</t>
    </rPh>
    <phoneticPr fontId="12"/>
  </si>
  <si>
    <t>4600円以上10490円以下</t>
    <rPh sb="4" eb="5">
      <t>エン</t>
    </rPh>
    <rPh sb="5" eb="7">
      <t>イジョウ</t>
    </rPh>
    <rPh sb="12" eb="13">
      <t>エン</t>
    </rPh>
    <phoneticPr fontId="12"/>
  </si>
  <si>
    <t>4610円以上11680円以下</t>
    <rPh sb="4" eb="5">
      <t>エン</t>
    </rPh>
    <rPh sb="5" eb="7">
      <t>イジョウ</t>
    </rPh>
    <rPh sb="12" eb="13">
      <t>エン</t>
    </rPh>
    <phoneticPr fontId="12"/>
  </si>
  <si>
    <t>11680円超12810円以下</t>
    <rPh sb="5" eb="6">
      <t>エン</t>
    </rPh>
    <rPh sb="6" eb="7">
      <t>チョウ</t>
    </rPh>
    <rPh sb="12" eb="13">
      <t>エン</t>
    </rPh>
    <phoneticPr fontId="12"/>
  </si>
  <si>
    <t>11680円超14230円以下</t>
    <rPh sb="5" eb="6">
      <t>エン</t>
    </rPh>
    <rPh sb="6" eb="7">
      <t>チョウ</t>
    </rPh>
    <rPh sb="12" eb="13">
      <t>エン</t>
    </rPh>
    <phoneticPr fontId="12"/>
  </si>
  <si>
    <t>4610円以上11680円以下</t>
    <rPh sb="4" eb="5">
      <t>エン</t>
    </rPh>
    <rPh sb="5" eb="7">
      <t>イジョウ</t>
    </rPh>
    <rPh sb="12" eb="13">
      <t>エン</t>
    </rPh>
    <rPh sb="13" eb="15">
      <t>イカ</t>
    </rPh>
    <phoneticPr fontId="12"/>
  </si>
  <si>
    <t>11680円超15660円以下</t>
    <rPh sb="5" eb="6">
      <t>エン</t>
    </rPh>
    <rPh sb="6" eb="7">
      <t>チョウ</t>
    </rPh>
    <rPh sb="12" eb="13">
      <t>エン</t>
    </rPh>
    <phoneticPr fontId="12"/>
  </si>
  <si>
    <t>4610円以上10510円以下</t>
    <rPh sb="4" eb="5">
      <t>エン</t>
    </rPh>
    <rPh sb="5" eb="7">
      <t>イジョウ</t>
    </rPh>
    <rPh sb="12" eb="13">
      <t>エン</t>
    </rPh>
    <phoneticPr fontId="12"/>
  </si>
  <si>
    <t>4640円以上11740円以下</t>
    <rPh sb="4" eb="5">
      <t>エン</t>
    </rPh>
    <rPh sb="5" eb="7">
      <t>イジョウ</t>
    </rPh>
    <rPh sb="12" eb="13">
      <t>エン</t>
    </rPh>
    <phoneticPr fontId="12"/>
  </si>
  <si>
    <t>11740円超12880円以下</t>
    <rPh sb="5" eb="6">
      <t>エン</t>
    </rPh>
    <rPh sb="6" eb="7">
      <t>チョウ</t>
    </rPh>
    <rPh sb="12" eb="13">
      <t>エン</t>
    </rPh>
    <phoneticPr fontId="12"/>
  </si>
  <si>
    <t>11740円超14310円以下</t>
    <rPh sb="5" eb="6">
      <t>エン</t>
    </rPh>
    <rPh sb="6" eb="7">
      <t>チョウ</t>
    </rPh>
    <rPh sb="12" eb="13">
      <t>エン</t>
    </rPh>
    <phoneticPr fontId="12"/>
  </si>
  <si>
    <t>4640円以上11740円以下</t>
    <rPh sb="4" eb="5">
      <t>エン</t>
    </rPh>
    <rPh sb="5" eb="7">
      <t>イジョウ</t>
    </rPh>
    <rPh sb="12" eb="13">
      <t>エン</t>
    </rPh>
    <rPh sb="13" eb="15">
      <t>イカ</t>
    </rPh>
    <phoneticPr fontId="12"/>
  </si>
  <si>
    <t>11740円超15740円以下</t>
    <rPh sb="5" eb="6">
      <t>エン</t>
    </rPh>
    <rPh sb="6" eb="7">
      <t>チョウ</t>
    </rPh>
    <rPh sb="12" eb="13">
      <t>エン</t>
    </rPh>
    <phoneticPr fontId="12"/>
  </si>
  <si>
    <t>4640円以上10570円以下</t>
    <rPh sb="4" eb="5">
      <t>エン</t>
    </rPh>
    <rPh sb="5" eb="7">
      <t>イジョウ</t>
    </rPh>
    <rPh sb="12" eb="13">
      <t>エン</t>
    </rPh>
    <phoneticPr fontId="12"/>
  </si>
  <si>
    <t>4650円以上11770円以下</t>
    <rPh sb="4" eb="5">
      <t>エン</t>
    </rPh>
    <rPh sb="5" eb="7">
      <t>イジョウ</t>
    </rPh>
    <rPh sb="12" eb="13">
      <t>エン</t>
    </rPh>
    <phoneticPr fontId="12"/>
  </si>
  <si>
    <t>11770円超12910円以下</t>
    <rPh sb="5" eb="6">
      <t>エン</t>
    </rPh>
    <rPh sb="6" eb="7">
      <t>チョウ</t>
    </rPh>
    <rPh sb="12" eb="13">
      <t>エン</t>
    </rPh>
    <phoneticPr fontId="12"/>
  </si>
  <si>
    <t>11770円超14340円以下</t>
    <rPh sb="5" eb="6">
      <t>エン</t>
    </rPh>
    <rPh sb="6" eb="7">
      <t>チョウ</t>
    </rPh>
    <rPh sb="12" eb="13">
      <t>エン</t>
    </rPh>
    <phoneticPr fontId="12"/>
  </si>
  <si>
    <t>11770円超15780円以下</t>
    <rPh sb="5" eb="6">
      <t>エン</t>
    </rPh>
    <rPh sb="6" eb="7">
      <t>チョウ</t>
    </rPh>
    <rPh sb="12" eb="13">
      <t>エン</t>
    </rPh>
    <phoneticPr fontId="12"/>
  </si>
  <si>
    <t>4650円以上10600円以下</t>
    <rPh sb="4" eb="5">
      <t>エン</t>
    </rPh>
    <rPh sb="5" eb="7">
      <t>イジョウ</t>
    </rPh>
    <rPh sb="12" eb="13">
      <t>エン</t>
    </rPh>
    <phoneticPr fontId="12"/>
  </si>
  <si>
    <t>3950円以上11410円以下</t>
    <rPh sb="4" eb="5">
      <t>エン</t>
    </rPh>
    <rPh sb="5" eb="7">
      <t>イジョウ</t>
    </rPh>
    <rPh sb="12" eb="13">
      <t>エン</t>
    </rPh>
    <phoneticPr fontId="12"/>
  </si>
  <si>
    <t>11410円超12290円以下</t>
    <rPh sb="5" eb="6">
      <t>エン</t>
    </rPh>
    <rPh sb="6" eb="7">
      <t>チョウ</t>
    </rPh>
    <rPh sb="12" eb="13">
      <t>エン</t>
    </rPh>
    <phoneticPr fontId="12"/>
  </si>
  <si>
    <t>11410円超13650円以下</t>
    <rPh sb="5" eb="6">
      <t>エン</t>
    </rPh>
    <rPh sb="6" eb="7">
      <t>チョウ</t>
    </rPh>
    <rPh sb="12" eb="13">
      <t>エン</t>
    </rPh>
    <phoneticPr fontId="12"/>
  </si>
  <si>
    <t>11410円超15010円以下</t>
    <rPh sb="5" eb="6">
      <t>エン</t>
    </rPh>
    <rPh sb="6" eb="7">
      <t>チョウ</t>
    </rPh>
    <rPh sb="12" eb="13">
      <t>エン</t>
    </rPh>
    <phoneticPr fontId="12"/>
  </si>
  <si>
    <t>3950円以上10230円以下</t>
    <rPh sb="4" eb="5">
      <t>エン</t>
    </rPh>
    <rPh sb="5" eb="7">
      <t>イジョウ</t>
    </rPh>
    <rPh sb="12" eb="13">
      <t>エン</t>
    </rPh>
    <phoneticPr fontId="12"/>
  </si>
  <si>
    <t>4040円以上11680円以下</t>
    <rPh sb="4" eb="5">
      <t>エン</t>
    </rPh>
    <rPh sb="5" eb="7">
      <t>イジョウ</t>
    </rPh>
    <rPh sb="12" eb="13">
      <t>エン</t>
    </rPh>
    <phoneticPr fontId="12"/>
  </si>
  <si>
    <t>11680円超12580円以下</t>
    <rPh sb="5" eb="6">
      <t>エン</t>
    </rPh>
    <rPh sb="6" eb="7">
      <t>チョウ</t>
    </rPh>
    <rPh sb="12" eb="13">
      <t>エン</t>
    </rPh>
    <phoneticPr fontId="12"/>
  </si>
  <si>
    <t>11680円超13980円以下</t>
    <rPh sb="5" eb="6">
      <t>エン</t>
    </rPh>
    <rPh sb="6" eb="7">
      <t>チョウ</t>
    </rPh>
    <rPh sb="12" eb="13">
      <t>エン</t>
    </rPh>
    <phoneticPr fontId="12"/>
  </si>
  <si>
    <t>11680円超15370円以下</t>
    <rPh sb="5" eb="6">
      <t>エン</t>
    </rPh>
    <rPh sb="6" eb="7">
      <t>チョウ</t>
    </rPh>
    <rPh sb="12" eb="13">
      <t>エン</t>
    </rPh>
    <phoneticPr fontId="12"/>
  </si>
  <si>
    <t>4040円以上10470円以下</t>
    <rPh sb="4" eb="5">
      <t>エン</t>
    </rPh>
    <rPh sb="5" eb="7">
      <t>イジョウ</t>
    </rPh>
    <rPh sb="12" eb="13">
      <t>エン</t>
    </rPh>
    <phoneticPr fontId="12"/>
  </si>
  <si>
    <t>4060円以上11750円以下</t>
    <rPh sb="4" eb="5">
      <t>エン</t>
    </rPh>
    <rPh sb="5" eb="7">
      <t>イジョウ</t>
    </rPh>
    <rPh sb="12" eb="13">
      <t>エン</t>
    </rPh>
    <phoneticPr fontId="12"/>
  </si>
  <si>
    <t>11750円超12660円以下</t>
    <rPh sb="5" eb="6">
      <t>エン</t>
    </rPh>
    <rPh sb="6" eb="7">
      <t>チョウ</t>
    </rPh>
    <rPh sb="12" eb="13">
      <t>エン</t>
    </rPh>
    <phoneticPr fontId="12"/>
  </si>
  <si>
    <t>11750円超14060円以下</t>
    <rPh sb="5" eb="6">
      <t>エン</t>
    </rPh>
    <rPh sb="6" eb="7">
      <t>チョウ</t>
    </rPh>
    <rPh sb="12" eb="13">
      <t>エン</t>
    </rPh>
    <phoneticPr fontId="12"/>
  </si>
  <si>
    <t>11750円超15460円以下</t>
    <rPh sb="5" eb="6">
      <t>エン</t>
    </rPh>
    <rPh sb="6" eb="7">
      <t>チョウ</t>
    </rPh>
    <rPh sb="12" eb="13">
      <t>エン</t>
    </rPh>
    <phoneticPr fontId="12"/>
  </si>
  <si>
    <t>4060円以上10530円以下</t>
    <rPh sb="4" eb="5">
      <t>エン</t>
    </rPh>
    <rPh sb="5" eb="7">
      <t>イジョウ</t>
    </rPh>
    <rPh sb="12" eb="13">
      <t>エン</t>
    </rPh>
    <phoneticPr fontId="12"/>
  </si>
  <si>
    <t>4060円以上10530円以下</t>
    <rPh sb="4" eb="5">
      <t>エン</t>
    </rPh>
    <rPh sb="5" eb="7">
      <t>イジョウ</t>
    </rPh>
    <rPh sb="12" eb="13">
      <t>エン</t>
    </rPh>
    <rPh sb="13" eb="15">
      <t>イカ</t>
    </rPh>
    <phoneticPr fontId="12"/>
  </si>
  <si>
    <t>4080円以上11820円以下</t>
    <rPh sb="4" eb="5">
      <t>エン</t>
    </rPh>
    <rPh sb="5" eb="7">
      <t>イジョウ</t>
    </rPh>
    <rPh sb="12" eb="13">
      <t>エン</t>
    </rPh>
    <phoneticPr fontId="12"/>
  </si>
  <si>
    <t>11820円超12730円以下</t>
    <rPh sb="5" eb="6">
      <t>エン</t>
    </rPh>
    <rPh sb="6" eb="7">
      <t>チョウ</t>
    </rPh>
    <rPh sb="12" eb="13">
      <t>エン</t>
    </rPh>
    <phoneticPr fontId="12"/>
  </si>
  <si>
    <t>11820円超14140円以下</t>
    <rPh sb="5" eb="6">
      <t>エン</t>
    </rPh>
    <rPh sb="6" eb="7">
      <t>チョウ</t>
    </rPh>
    <rPh sb="12" eb="13">
      <t>エン</t>
    </rPh>
    <phoneticPr fontId="12"/>
  </si>
  <si>
    <t>11820円超15550円以下</t>
    <rPh sb="5" eb="6">
      <t>エン</t>
    </rPh>
    <rPh sb="6" eb="7">
      <t>チョウ</t>
    </rPh>
    <rPh sb="12" eb="13">
      <t>エン</t>
    </rPh>
    <phoneticPr fontId="12"/>
  </si>
  <si>
    <t>4080円以上10590円以下</t>
    <rPh sb="4" eb="5">
      <t>エン</t>
    </rPh>
    <rPh sb="5" eb="7">
      <t>イジョウ</t>
    </rPh>
    <rPh sb="12" eb="13">
      <t>エン</t>
    </rPh>
    <phoneticPr fontId="12"/>
  </si>
  <si>
    <t>4100円以上11870円以下</t>
    <rPh sb="4" eb="5">
      <t>エン</t>
    </rPh>
    <rPh sb="5" eb="7">
      <t>イジョウ</t>
    </rPh>
    <rPh sb="12" eb="13">
      <t>エン</t>
    </rPh>
    <phoneticPr fontId="12"/>
  </si>
  <si>
    <t>11870円超12790円以下</t>
    <rPh sb="5" eb="6">
      <t>エン</t>
    </rPh>
    <rPh sb="6" eb="7">
      <t>チョウ</t>
    </rPh>
    <rPh sb="12" eb="13">
      <t>エン</t>
    </rPh>
    <phoneticPr fontId="12"/>
  </si>
  <si>
    <t>11870円超14200円以下</t>
    <rPh sb="5" eb="6">
      <t>エン</t>
    </rPh>
    <rPh sb="6" eb="7">
      <t>チョウ</t>
    </rPh>
    <rPh sb="12" eb="13">
      <t>エン</t>
    </rPh>
    <phoneticPr fontId="12"/>
  </si>
  <si>
    <t>11870円超15620円以下</t>
    <rPh sb="5" eb="6">
      <t>エン</t>
    </rPh>
    <rPh sb="6" eb="7">
      <t>チョウ</t>
    </rPh>
    <rPh sb="12" eb="13">
      <t>エン</t>
    </rPh>
    <phoneticPr fontId="12"/>
  </si>
  <si>
    <t>4100円以上10640円以下</t>
    <rPh sb="4" eb="5">
      <t>エン</t>
    </rPh>
    <rPh sb="5" eb="7">
      <t>イジョウ</t>
    </rPh>
    <rPh sb="12" eb="13">
      <t>エン</t>
    </rPh>
    <phoneticPr fontId="12"/>
  </si>
  <si>
    <t>11830円超14150円以下</t>
    <rPh sb="5" eb="6">
      <t>エン</t>
    </rPh>
    <rPh sb="6" eb="7">
      <t>チョウ</t>
    </rPh>
    <rPh sb="12" eb="13">
      <t>エン</t>
    </rPh>
    <phoneticPr fontId="12"/>
  </si>
  <si>
    <t>11830円超15560円以下</t>
    <rPh sb="5" eb="6">
      <t>エン</t>
    </rPh>
    <rPh sb="6" eb="7">
      <t>チョウ</t>
    </rPh>
    <rPh sb="12" eb="13">
      <t>エン</t>
    </rPh>
    <phoneticPr fontId="12"/>
  </si>
  <si>
    <t>4160円以上12060円以下</t>
    <rPh sb="4" eb="5">
      <t>エン</t>
    </rPh>
    <rPh sb="5" eb="7">
      <t>イジョウ</t>
    </rPh>
    <rPh sb="12" eb="13">
      <t>エン</t>
    </rPh>
    <phoneticPr fontId="12"/>
  </si>
  <si>
    <t>12060円超12990円以下</t>
    <rPh sb="5" eb="6">
      <t>エン</t>
    </rPh>
    <rPh sb="6" eb="7">
      <t>チョウ</t>
    </rPh>
    <rPh sb="12" eb="13">
      <t>エン</t>
    </rPh>
    <phoneticPr fontId="12"/>
  </si>
  <si>
    <t>12060円超14430円以下</t>
    <rPh sb="5" eb="6">
      <t>エン</t>
    </rPh>
    <rPh sb="6" eb="7">
      <t>チョウ</t>
    </rPh>
    <rPh sb="12" eb="13">
      <t>エン</t>
    </rPh>
    <phoneticPr fontId="12"/>
  </si>
  <si>
    <t>12060円超15870円以下</t>
    <rPh sb="5" eb="6">
      <t>エン</t>
    </rPh>
    <rPh sb="6" eb="7">
      <t>チョウ</t>
    </rPh>
    <rPh sb="12" eb="13">
      <t>エン</t>
    </rPh>
    <phoneticPr fontId="12"/>
  </si>
  <si>
    <t>4160円以上10810円以下</t>
    <rPh sb="4" eb="5">
      <t>エン</t>
    </rPh>
    <rPh sb="5" eb="7">
      <t>イジョウ</t>
    </rPh>
    <rPh sb="12" eb="13">
      <t>エン</t>
    </rPh>
    <phoneticPr fontId="12"/>
  </si>
  <si>
    <t>円</t>
    <rPh sb="0" eb="1">
      <t>エン</t>
    </rPh>
    <phoneticPr fontId="12"/>
  </si>
  <si>
    <t>円</t>
    <rPh sb="0" eb="1">
      <t>エン</t>
    </rPh>
    <phoneticPr fontId="12"/>
  </si>
  <si>
    <t>　　※　期間等の入力が適正でない場合、計算結果が表示されない場合があります。</t>
    <phoneticPr fontId="12"/>
  </si>
  <si>
    <t>　　※　支給開始後、失業認定されない期間が生じたため支給が中断し、再び支給が開始された場
　　　　合は、見込額及び旧支給額（概算）が多く算出されます。</t>
    <rPh sb="4" eb="6">
      <t>シキュウ</t>
    </rPh>
    <rPh sb="6" eb="8">
      <t>カイシ</t>
    </rPh>
    <rPh sb="8" eb="9">
      <t>ゴ</t>
    </rPh>
    <rPh sb="10" eb="12">
      <t>シツギョウ</t>
    </rPh>
    <rPh sb="12" eb="14">
      <t>ニンテイ</t>
    </rPh>
    <rPh sb="18" eb="20">
      <t>キカン</t>
    </rPh>
    <rPh sb="21" eb="22">
      <t>ショウ</t>
    </rPh>
    <rPh sb="26" eb="28">
      <t>シキュウ</t>
    </rPh>
    <rPh sb="29" eb="31">
      <t>チュウダン</t>
    </rPh>
    <rPh sb="33" eb="34">
      <t>フタタ</t>
    </rPh>
    <rPh sb="35" eb="37">
      <t>シキュウ</t>
    </rPh>
    <rPh sb="38" eb="40">
      <t>カイシ</t>
    </rPh>
    <rPh sb="43" eb="44">
      <t>バ</t>
    </rPh>
    <rPh sb="49" eb="50">
      <t>ゴウ</t>
    </rPh>
    <rPh sb="52" eb="54">
      <t>ミコミ</t>
    </rPh>
    <rPh sb="54" eb="55">
      <t>ガク</t>
    </rPh>
    <rPh sb="55" eb="56">
      <t>オヨ</t>
    </rPh>
    <rPh sb="57" eb="58">
      <t>キュウ</t>
    </rPh>
    <rPh sb="58" eb="61">
      <t>シキュウガク</t>
    </rPh>
    <rPh sb="62" eb="64">
      <t>ガイサン</t>
    </rPh>
    <rPh sb="66" eb="67">
      <t>オオ</t>
    </rPh>
    <rPh sb="68" eb="70">
      <t>サンシュツ</t>
    </rPh>
    <phoneticPr fontId="12"/>
  </si>
  <si>
    <t>←　離職時の年齢を選択してください。</t>
    <phoneticPr fontId="12"/>
  </si>
  <si>
    <t>※　上記の追加給付見込み額はあくまで目安です。細かな賃金の条件など、各個人の詳細な状況によって、実際の追加給付額は異なりますのでご留意ください。</t>
    <rPh sb="2" eb="4">
      <t>ジョウキ</t>
    </rPh>
    <rPh sb="5" eb="7">
      <t>ツイカ</t>
    </rPh>
    <rPh sb="7" eb="9">
      <t>キュウフ</t>
    </rPh>
    <rPh sb="9" eb="11">
      <t>ミコ</t>
    </rPh>
    <rPh sb="12" eb="13">
      <t>ガク</t>
    </rPh>
    <rPh sb="18" eb="20">
      <t>メヤス</t>
    </rPh>
    <rPh sb="23" eb="24">
      <t>コマ</t>
    </rPh>
    <rPh sb="26" eb="28">
      <t>チンギン</t>
    </rPh>
    <rPh sb="29" eb="31">
      <t>ジョウケン</t>
    </rPh>
    <rPh sb="34" eb="37">
      <t>カクコジン</t>
    </rPh>
    <rPh sb="38" eb="40">
      <t>ショウサイ</t>
    </rPh>
    <rPh sb="41" eb="43">
      <t>ジョウキョウ</t>
    </rPh>
    <rPh sb="48" eb="50">
      <t>ジッサイ</t>
    </rPh>
    <rPh sb="51" eb="53">
      <t>ツイカ</t>
    </rPh>
    <rPh sb="53" eb="55">
      <t>キュウフ</t>
    </rPh>
    <rPh sb="55" eb="56">
      <t>ガク</t>
    </rPh>
    <rPh sb="57" eb="58">
      <t>コト</t>
    </rPh>
    <rPh sb="65" eb="67">
      <t>リュウイ</t>
    </rPh>
    <phoneticPr fontId="3"/>
  </si>
  <si>
    <t>※　本簡易計算ツール（以下、本ツールという）は無料です。本ツールを第三者に対して再販売、改変、再配布等する行為を禁止します。</t>
    <rPh sb="2" eb="3">
      <t>ホン</t>
    </rPh>
    <rPh sb="3" eb="5">
      <t>カンイ</t>
    </rPh>
    <rPh sb="5" eb="7">
      <t>ケイサン</t>
    </rPh>
    <rPh sb="11" eb="13">
      <t>イカ</t>
    </rPh>
    <rPh sb="14" eb="15">
      <t>ホン</t>
    </rPh>
    <rPh sb="23" eb="25">
      <t>ムリョウ</t>
    </rPh>
    <rPh sb="28" eb="29">
      <t>ホン</t>
    </rPh>
    <rPh sb="33" eb="36">
      <t>ダイサンシャ</t>
    </rPh>
    <rPh sb="37" eb="38">
      <t>タイ</t>
    </rPh>
    <rPh sb="40" eb="43">
      <t>サイハンバイ</t>
    </rPh>
    <rPh sb="44" eb="46">
      <t>カイヘン</t>
    </rPh>
    <rPh sb="47" eb="50">
      <t>サイハイフ</t>
    </rPh>
    <rPh sb="50" eb="51">
      <t>ナド</t>
    </rPh>
    <rPh sb="53" eb="55">
      <t>コウイ</t>
    </rPh>
    <rPh sb="56" eb="58">
      <t>キンシ</t>
    </rPh>
    <phoneticPr fontId="3"/>
  </si>
  <si>
    <r>
      <t>　　例）　支給を受けることとなった</t>
    </r>
    <r>
      <rPr>
        <b/>
        <sz val="11"/>
        <color theme="1"/>
        <rFont val="ＭＳ Ｐゴシック"/>
        <family val="3"/>
        <charset val="128"/>
        <scheme val="minor"/>
      </rPr>
      <t>最初</t>
    </r>
    <r>
      <rPr>
        <sz val="11"/>
        <color theme="1"/>
        <rFont val="ＭＳ Ｐゴシック"/>
        <family val="2"/>
        <charset val="128"/>
        <scheme val="minor"/>
      </rPr>
      <t>の失業認定期間が</t>
    </r>
    <r>
      <rPr>
        <u/>
        <sz val="11"/>
        <color theme="1"/>
        <rFont val="ＭＳ Ｐゴシック"/>
        <family val="3"/>
        <charset val="128"/>
        <scheme val="minor"/>
      </rPr>
      <t>平成30年10月1日</t>
    </r>
    <r>
      <rPr>
        <sz val="11"/>
        <color theme="1"/>
        <rFont val="ＭＳ Ｐゴシック"/>
        <family val="2"/>
        <charset val="128"/>
        <scheme val="minor"/>
      </rPr>
      <t>～平成30年10月15日
　　　　　⇒　</t>
    </r>
    <r>
      <rPr>
        <b/>
        <sz val="11"/>
        <color theme="1"/>
        <rFont val="ＭＳ Ｐゴシック"/>
        <family val="3"/>
        <charset val="128"/>
        <scheme val="minor"/>
      </rPr>
      <t>支給を受けた初日</t>
    </r>
    <r>
      <rPr>
        <sz val="11"/>
        <color theme="1"/>
        <rFont val="ＭＳ Ｐゴシック"/>
        <family val="2"/>
        <charset val="128"/>
        <scheme val="minor"/>
      </rPr>
      <t>は</t>
    </r>
    <r>
      <rPr>
        <u/>
        <sz val="11"/>
        <color theme="1"/>
        <rFont val="ＭＳ Ｐゴシック"/>
        <family val="3"/>
        <charset val="128"/>
        <scheme val="minor"/>
      </rPr>
      <t>平成30年10月1日</t>
    </r>
    <r>
      <rPr>
        <sz val="11"/>
        <color theme="1"/>
        <rFont val="ＭＳ Ｐゴシック"/>
        <family val="2"/>
        <charset val="128"/>
        <scheme val="minor"/>
      </rPr>
      <t>です。　</t>
    </r>
    <rPh sb="2" eb="3">
      <t>レイ</t>
    </rPh>
    <rPh sb="5" eb="7">
      <t>シキュウ</t>
    </rPh>
    <rPh sb="8" eb="9">
      <t>ウ</t>
    </rPh>
    <rPh sb="17" eb="19">
      <t>サイショ</t>
    </rPh>
    <rPh sb="20" eb="22">
      <t>シツギョウ</t>
    </rPh>
    <rPh sb="22" eb="24">
      <t>ニンテイ</t>
    </rPh>
    <rPh sb="24" eb="26">
      <t>キカン</t>
    </rPh>
    <rPh sb="27" eb="29">
      <t>ヘイセイ</t>
    </rPh>
    <rPh sb="31" eb="32">
      <t>ネン</t>
    </rPh>
    <rPh sb="34" eb="35">
      <t>ガツ</t>
    </rPh>
    <rPh sb="36" eb="37">
      <t>ニチ</t>
    </rPh>
    <rPh sb="38" eb="40">
      <t>ヘイセイ</t>
    </rPh>
    <rPh sb="42" eb="43">
      <t>ネン</t>
    </rPh>
    <rPh sb="45" eb="46">
      <t>ガツ</t>
    </rPh>
    <rPh sb="48" eb="49">
      <t>ニチ</t>
    </rPh>
    <rPh sb="60" eb="61">
      <t>ウ</t>
    </rPh>
    <rPh sb="63" eb="65">
      <t>ショニチ</t>
    </rPh>
    <rPh sb="66" eb="68">
      <t>ヘイセイ</t>
    </rPh>
    <rPh sb="70" eb="71">
      <t>ネン</t>
    </rPh>
    <rPh sb="73" eb="74">
      <t>ガツ</t>
    </rPh>
    <rPh sb="75" eb="76">
      <t>ニチ</t>
    </rPh>
    <phoneticPr fontId="12"/>
  </si>
  <si>
    <r>
      <t>　　例）　支給を受けることとなった</t>
    </r>
    <r>
      <rPr>
        <b/>
        <sz val="11"/>
        <rFont val="ＭＳ Ｐゴシック"/>
        <family val="3"/>
        <charset val="128"/>
      </rPr>
      <t>最後</t>
    </r>
    <r>
      <rPr>
        <sz val="11"/>
        <rFont val="ＭＳ Ｐゴシック"/>
        <family val="3"/>
        <charset val="128"/>
      </rPr>
      <t>の失業認定期間が平成30年11月16日～</t>
    </r>
    <r>
      <rPr>
        <u/>
        <sz val="11"/>
        <rFont val="ＭＳ Ｐゴシック"/>
        <family val="3"/>
        <charset val="128"/>
      </rPr>
      <t xml:space="preserve">平成30年12月15日
</t>
    </r>
    <r>
      <rPr>
        <sz val="11"/>
        <rFont val="ＭＳ Ｐゴシック"/>
        <family val="3"/>
        <charset val="128"/>
      </rPr>
      <t>　　　　　⇒　</t>
    </r>
    <r>
      <rPr>
        <b/>
        <sz val="11"/>
        <rFont val="ＭＳ Ｐゴシック"/>
        <family val="3"/>
        <charset val="128"/>
      </rPr>
      <t>支給を受けた末日</t>
    </r>
    <r>
      <rPr>
        <sz val="11"/>
        <rFont val="ＭＳ Ｐゴシック"/>
        <family val="3"/>
        <charset val="128"/>
      </rPr>
      <t>は</t>
    </r>
    <r>
      <rPr>
        <u/>
        <sz val="11"/>
        <rFont val="ＭＳ Ｐゴシック"/>
        <family val="3"/>
        <charset val="128"/>
      </rPr>
      <t>平成30年12月15日</t>
    </r>
    <r>
      <rPr>
        <sz val="11"/>
        <rFont val="ＭＳ Ｐゴシック"/>
        <family val="3"/>
        <charset val="128"/>
      </rPr>
      <t>です。　</t>
    </r>
    <rPh sb="2" eb="3">
      <t>レイ</t>
    </rPh>
    <rPh sb="17" eb="19">
      <t>サイゴ</t>
    </rPh>
    <rPh sb="64" eb="65">
      <t>マツ</t>
    </rPh>
    <phoneticPr fontId="12"/>
  </si>
  <si>
    <r>
      <t>←　１ヶ月分の額（扶養、地域、特勤、超勤、夜勤、休日、通勤の</t>
    </r>
    <r>
      <rPr>
        <sz val="12"/>
        <color rgb="FFFF0000"/>
        <rFont val="ＭＳ Ｐゴシック"/>
        <family val="3"/>
        <charset val="128"/>
      </rPr>
      <t>各手当</t>
    </r>
    <r>
      <rPr>
        <sz val="12"/>
        <rFont val="ＭＳ Ｐゴシック"/>
        <family val="3"/>
        <charset val="128"/>
      </rPr>
      <t>を含む。</t>
    </r>
    <r>
      <rPr>
        <sz val="12"/>
        <color rgb="FFFF0000"/>
        <rFont val="ＭＳ Ｐゴシック"/>
        <family val="3"/>
        <charset val="128"/>
      </rPr>
      <t>なお、</t>
    </r>
    <r>
      <rPr>
        <sz val="12"/>
        <rFont val="ＭＳ Ｐゴシック"/>
        <family val="3"/>
        <charset val="128"/>
      </rPr>
      <t>賞与は含まない。）</t>
    </r>
    <rPh sb="9" eb="11">
      <t>フヨウ</t>
    </rPh>
    <rPh sb="12" eb="14">
      <t>チイキ</t>
    </rPh>
    <rPh sb="15" eb="17">
      <t>トッキン</t>
    </rPh>
    <rPh sb="18" eb="20">
      <t>チョウキン</t>
    </rPh>
    <rPh sb="21" eb="23">
      <t>ヤキン</t>
    </rPh>
    <rPh sb="24" eb="26">
      <t>キュウジツ</t>
    </rPh>
    <rPh sb="27" eb="29">
      <t>ツウキン</t>
    </rPh>
    <rPh sb="30" eb="31">
      <t>カク</t>
    </rPh>
    <rPh sb="31" eb="33">
      <t>テアテ</t>
    </rPh>
    <rPh sb="34" eb="35">
      <t>フク</t>
    </rPh>
    <rPh sb="40" eb="42">
      <t>ショウヨ</t>
    </rPh>
    <rPh sb="43" eb="44">
      <t>フク</t>
    </rPh>
    <phoneticPr fontId="12"/>
  </si>
  <si>
    <r>
      <t>←　</t>
    </r>
    <r>
      <rPr>
        <b/>
        <sz val="12"/>
        <rFont val="ＭＳ Ｐゴシック"/>
        <family val="3"/>
        <charset val="128"/>
      </rPr>
      <t>支給を受けた初日</t>
    </r>
    <r>
      <rPr>
        <sz val="12"/>
        <rFont val="ＭＳ Ｐゴシック"/>
        <family val="3"/>
        <charset val="128"/>
      </rPr>
      <t>の日付を選択してください。
　　※　平成16年８月より前から</t>
    </r>
    <r>
      <rPr>
        <sz val="12"/>
        <color rgb="FFFF0000"/>
        <rFont val="ＭＳ Ｐゴシック"/>
        <family val="3"/>
        <charset val="128"/>
      </rPr>
      <t>引き続き</t>
    </r>
    <r>
      <rPr>
        <sz val="12"/>
        <rFont val="ＭＳ Ｐゴシック"/>
        <family val="3"/>
        <charset val="128"/>
      </rPr>
      <t>支給を受けていた方は、平成16年8月1日を選択してください。</t>
    </r>
    <rPh sb="5" eb="6">
      <t>ウ</t>
    </rPh>
    <rPh sb="40" eb="41">
      <t>ヒ</t>
    </rPh>
    <rPh sb="42" eb="43">
      <t>ツヅ</t>
    </rPh>
    <phoneticPr fontId="12"/>
  </si>
  <si>
    <t>y = 0.05w＋(10930×0.4）のいずれか低い方の額</t>
    <phoneticPr fontId="12"/>
  </si>
  <si>
    <t>下欄における　　　　　　　　を入力してください。</t>
    <rPh sb="0" eb="2">
      <t>カラン</t>
    </rPh>
    <rPh sb="15" eb="17">
      <t>ニュウリョク</t>
    </rPh>
    <phoneticPr fontId="12"/>
  </si>
  <si>
    <t>12220円超16510円以下</t>
    <phoneticPr fontId="12"/>
  </si>
  <si>
    <t>16510円超</t>
    <phoneticPr fontId="12"/>
  </si>
  <si>
    <t>y = 8255</t>
    <phoneticPr fontId="12"/>
  </si>
  <si>
    <t>失業者の退職手当（基本手当相当）　追加給付見込額　簡易計算表</t>
    <rPh sb="0" eb="3">
      <t>シツギョウシャ</t>
    </rPh>
    <rPh sb="4" eb="6">
      <t>タイショク</t>
    </rPh>
    <rPh sb="6" eb="8">
      <t>テアテ</t>
    </rPh>
    <rPh sb="13" eb="15">
      <t>ソウトウ</t>
    </rPh>
    <rPh sb="17" eb="19">
      <t>ツイカ</t>
    </rPh>
    <rPh sb="19" eb="21">
      <t>キュウフ</t>
    </rPh>
    <rPh sb="21" eb="23">
      <t>ミコ</t>
    </rPh>
    <rPh sb="23" eb="24">
      <t>ガク</t>
    </rPh>
    <rPh sb="25" eb="27">
      <t>カンイ</t>
    </rPh>
    <rPh sb="27" eb="29">
      <t>ケイサン</t>
    </rPh>
    <rPh sb="29" eb="30">
      <t>ヒョウ</t>
    </rPh>
    <phoneticPr fontId="3"/>
  </si>
  <si>
    <r>
      <t>←　</t>
    </r>
    <r>
      <rPr>
        <b/>
        <sz val="12"/>
        <rFont val="ＭＳ Ｐゴシック"/>
        <family val="3"/>
        <charset val="128"/>
      </rPr>
      <t>支給を受けた末日</t>
    </r>
    <r>
      <rPr>
        <sz val="12"/>
        <rFont val="ＭＳ Ｐゴシック"/>
        <family val="3"/>
        <charset val="128"/>
      </rPr>
      <t>の日付を選択してください。
　　※　平成31年３月17日以前の日付を入力してください（平成31年３月18日以降に失業認定が
　　　　ある方については、既に正しい額を支給済みです。）。</t>
    </r>
    <rPh sb="5" eb="6">
      <t>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</si>
</sst>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" fillId="0" borderId="0"/>
    <xf numFmtId="38" fontId="20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/>
      <protection hidden="1"/>
    </xf>
    <xf numFmtId="0" fontId="1" fillId="0" borderId="0" xfId="1" applyProtection="1">
      <protection hidden="1"/>
    </xf>
    <xf numFmtId="0" fontId="10" fillId="0" borderId="0" xfId="1" applyFont="1" applyAlignment="1" applyProtection="1">
      <alignment horizontal="center" vertical="center" shrinkToFit="1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0" fontId="6" fillId="2" borderId="4" xfId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>
      <alignment vertical="center" wrapText="1"/>
    </xf>
    <xf numFmtId="0" fontId="6" fillId="0" borderId="0" xfId="1" applyFont="1" applyAlignment="1" applyProtection="1">
      <alignment horizontal="left" vertical="center" wrapText="1"/>
      <protection hidden="1"/>
    </xf>
    <xf numFmtId="0" fontId="13" fillId="0" borderId="0" xfId="0" applyFont="1" applyAlignment="1">
      <alignment horizontal="right" vertical="center"/>
    </xf>
    <xf numFmtId="14" fontId="13" fillId="0" borderId="0" xfId="0" applyNumberFormat="1" applyFont="1" applyAlignment="1">
      <alignment horizontal="right" vertical="center"/>
    </xf>
    <xf numFmtId="0" fontId="13" fillId="0" borderId="0" xfId="0" applyNumberFormat="1" applyFont="1" applyAlignment="1">
      <alignment vertical="center" wrapText="1"/>
    </xf>
    <xf numFmtId="38" fontId="13" fillId="0" borderId="0" xfId="0" applyNumberFormat="1" applyFont="1" applyAlignment="1">
      <alignment horizontal="right" vertical="center"/>
    </xf>
    <xf numFmtId="0" fontId="13" fillId="0" borderId="0" xfId="0" applyNumberFormat="1" applyFont="1" applyAlignment="1">
      <alignment horizontal="right" vertical="center"/>
    </xf>
    <xf numFmtId="0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6" fillId="0" borderId="8" xfId="1" applyFont="1" applyBorder="1" applyAlignment="1" applyProtection="1">
      <alignment horizontal="left" vertical="center" wrapText="1"/>
      <protection hidden="1"/>
    </xf>
    <xf numFmtId="0" fontId="13" fillId="0" borderId="13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>
      <alignment vertical="center"/>
    </xf>
    <xf numFmtId="14" fontId="0" fillId="0" borderId="4" xfId="0" applyNumberForma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8" xfId="0" applyNumberFormat="1" applyFont="1" applyBorder="1" applyAlignment="1">
      <alignment vertical="center"/>
    </xf>
    <xf numFmtId="0" fontId="13" fillId="6" borderId="12" xfId="0" applyFont="1" applyFill="1" applyBorder="1" applyAlignment="1">
      <alignment horizontal="right" vertical="center"/>
    </xf>
    <xf numFmtId="0" fontId="13" fillId="6" borderId="12" xfId="0" applyNumberFormat="1" applyFont="1" applyFill="1" applyBorder="1" applyAlignment="1">
      <alignment vertical="center"/>
    </xf>
    <xf numFmtId="0" fontId="13" fillId="6" borderId="11" xfId="0" applyNumberFormat="1" applyFont="1" applyFill="1" applyBorder="1" applyAlignment="1">
      <alignment vertical="center"/>
    </xf>
    <xf numFmtId="14" fontId="13" fillId="6" borderId="0" xfId="0" applyNumberFormat="1" applyFont="1" applyFill="1" applyAlignment="1">
      <alignment horizontal="right" vertical="center"/>
    </xf>
    <xf numFmtId="38" fontId="13" fillId="6" borderId="0" xfId="0" applyNumberFormat="1" applyFont="1" applyFill="1" applyAlignment="1">
      <alignment horizontal="right" vertical="center"/>
    </xf>
    <xf numFmtId="0" fontId="13" fillId="6" borderId="0" xfId="0" applyFont="1" applyFill="1" applyAlignment="1">
      <alignment horizontal="right" vertical="center"/>
    </xf>
    <xf numFmtId="14" fontId="13" fillId="7" borderId="0" xfId="0" applyNumberFormat="1" applyFont="1" applyFill="1" applyAlignment="1">
      <alignment horizontal="right" vertical="center"/>
    </xf>
    <xf numFmtId="14" fontId="13" fillId="6" borderId="10" xfId="0" applyNumberFormat="1" applyFont="1" applyFill="1" applyBorder="1" applyAlignment="1">
      <alignment horizontal="right" vertical="center"/>
    </xf>
    <xf numFmtId="14" fontId="13" fillId="6" borderId="10" xfId="0" applyNumberFormat="1" applyFont="1" applyFill="1" applyBorder="1" applyAlignment="1">
      <alignment vertical="center"/>
    </xf>
    <xf numFmtId="14" fontId="13" fillId="6" borderId="10" xfId="0" applyNumberFormat="1" applyFont="1" applyFill="1" applyBorder="1" applyAlignment="1">
      <alignment horizontal="center" vertical="center"/>
    </xf>
    <xf numFmtId="176" fontId="13" fillId="6" borderId="10" xfId="0" applyNumberFormat="1" applyFont="1" applyFill="1" applyBorder="1" applyAlignment="1">
      <alignment horizontal="center" vertical="center"/>
    </xf>
    <xf numFmtId="0" fontId="13" fillId="6" borderId="10" xfId="0" applyNumberFormat="1" applyFont="1" applyFill="1" applyBorder="1" applyAlignment="1">
      <alignment vertical="center"/>
    </xf>
    <xf numFmtId="0" fontId="13" fillId="6" borderId="10" xfId="0" applyNumberFormat="1" applyFont="1" applyFill="1" applyBorder="1" applyAlignment="1">
      <alignment horizontal="center" vertical="center"/>
    </xf>
    <xf numFmtId="0" fontId="13" fillId="0" borderId="14" xfId="0" applyNumberFormat="1" applyFont="1" applyBorder="1" applyAlignment="1">
      <alignment vertical="center" wrapText="1"/>
    </xf>
    <xf numFmtId="0" fontId="13" fillId="0" borderId="14" xfId="0" applyNumberFormat="1" applyFont="1" applyBorder="1" applyAlignment="1">
      <alignment vertical="center"/>
    </xf>
    <xf numFmtId="0" fontId="13" fillId="0" borderId="15" xfId="0" applyNumberFormat="1" applyFont="1" applyBorder="1" applyAlignment="1">
      <alignment vertical="center"/>
    </xf>
    <xf numFmtId="0" fontId="13" fillId="0" borderId="16" xfId="0" applyNumberFormat="1" applyFont="1" applyBorder="1" applyAlignment="1">
      <alignment vertical="center"/>
    </xf>
    <xf numFmtId="14" fontId="13" fillId="0" borderId="15" xfId="0" applyNumberFormat="1" applyFont="1" applyBorder="1" applyAlignment="1">
      <alignment horizontal="right" vertical="center"/>
    </xf>
    <xf numFmtId="14" fontId="13" fillId="0" borderId="0" xfId="0" applyNumberFormat="1" applyFont="1" applyAlignment="1">
      <alignment vertical="center" wrapText="1"/>
    </xf>
    <xf numFmtId="14" fontId="13" fillId="0" borderId="0" xfId="0" applyNumberFormat="1" applyFont="1" applyAlignment="1">
      <alignment horizontal="right" vertical="center" wrapText="1"/>
    </xf>
    <xf numFmtId="0" fontId="13" fillId="7" borderId="15" xfId="0" applyNumberFormat="1" applyFont="1" applyFill="1" applyBorder="1" applyAlignment="1">
      <alignment vertical="center"/>
    </xf>
    <xf numFmtId="0" fontId="4" fillId="0" borderId="17" xfId="1" applyFont="1" applyBorder="1" applyAlignment="1" applyProtection="1">
      <alignment horizontal="left" vertical="center" wrapText="1"/>
      <protection hidden="1"/>
    </xf>
    <xf numFmtId="0" fontId="13" fillId="0" borderId="0" xfId="0" applyFont="1" applyBorder="1" applyAlignment="1">
      <alignment horizontal="left" vertical="center" wrapText="1"/>
    </xf>
    <xf numFmtId="0" fontId="13" fillId="7" borderId="0" xfId="0" applyNumberFormat="1" applyFont="1" applyFill="1" applyBorder="1" applyAlignment="1">
      <alignment vertical="center"/>
    </xf>
    <xf numFmtId="0" fontId="9" fillId="3" borderId="7" xfId="1" applyFont="1" applyFill="1" applyBorder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0" borderId="0" xfId="1" applyFont="1" applyAlignment="1" applyProtection="1">
      <alignment horizontal="right" vertical="center" shrinkToFit="1"/>
      <protection hidden="1"/>
    </xf>
    <xf numFmtId="0" fontId="4" fillId="0" borderId="0" xfId="1" applyFont="1" applyAlignment="1" applyProtection="1">
      <alignment horizontal="right"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0" fillId="6" borderId="4" xfId="0" applyFill="1" applyBorder="1">
      <alignment vertical="center"/>
    </xf>
    <xf numFmtId="0" fontId="0" fillId="6" borderId="0" xfId="0" applyFill="1">
      <alignment vertical="center"/>
    </xf>
    <xf numFmtId="0" fontId="14" fillId="6" borderId="4" xfId="0" applyFont="1" applyFill="1" applyBorder="1">
      <alignment vertical="center"/>
    </xf>
    <xf numFmtId="0" fontId="14" fillId="6" borderId="0" xfId="0" applyFont="1" applyFill="1">
      <alignment vertical="center"/>
    </xf>
    <xf numFmtId="0" fontId="0" fillId="7" borderId="4" xfId="0" applyFill="1" applyBorder="1" applyAlignment="1">
      <alignment vertical="center" wrapText="1"/>
    </xf>
    <xf numFmtId="0" fontId="14" fillId="7" borderId="4" xfId="0" applyFont="1" applyFill="1" applyBorder="1" applyAlignment="1">
      <alignment vertical="center" wrapText="1"/>
    </xf>
    <xf numFmtId="0" fontId="0" fillId="7" borderId="4" xfId="0" applyFill="1" applyBorder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 hidden="1"/>
    </xf>
    <xf numFmtId="38" fontId="13" fillId="6" borderId="0" xfId="4" applyFont="1" applyFill="1" applyAlignment="1">
      <alignment horizontal="right" vertical="center"/>
    </xf>
    <xf numFmtId="38" fontId="13" fillId="6" borderId="12" xfId="4" applyFont="1" applyFill="1" applyBorder="1" applyAlignment="1">
      <alignment horizontal="right" vertical="center"/>
    </xf>
    <xf numFmtId="38" fontId="13" fillId="6" borderId="12" xfId="4" applyFont="1" applyFill="1" applyBorder="1" applyAlignment="1">
      <alignment vertical="center"/>
    </xf>
    <xf numFmtId="38" fontId="13" fillId="6" borderId="11" xfId="4" applyFont="1" applyFill="1" applyBorder="1" applyAlignment="1">
      <alignment horizontal="right" vertical="center"/>
    </xf>
    <xf numFmtId="38" fontId="13" fillId="7" borderId="0" xfId="4" applyFont="1" applyFill="1" applyBorder="1" applyAlignment="1">
      <alignment horizontal="right" vertical="center"/>
    </xf>
    <xf numFmtId="38" fontId="13" fillId="6" borderId="18" xfId="4" applyFont="1" applyFill="1" applyBorder="1" applyAlignment="1">
      <alignment horizontal="right" vertical="center"/>
    </xf>
    <xf numFmtId="0" fontId="0" fillId="0" borderId="4" xfId="0" applyFill="1" applyBorder="1">
      <alignment vertical="center"/>
    </xf>
    <xf numFmtId="0" fontId="15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protection hidden="1"/>
    </xf>
    <xf numFmtId="0" fontId="6" fillId="2" borderId="1" xfId="1" applyFont="1" applyFill="1" applyBorder="1" applyAlignment="1" applyProtection="1">
      <alignment horizontal="center" vertical="center"/>
      <protection locked="0" hidden="1"/>
    </xf>
    <xf numFmtId="0" fontId="6" fillId="0" borderId="2" xfId="1" applyFont="1" applyBorder="1" applyAlignment="1" applyProtection="1">
      <alignment vertical="center"/>
      <protection locked="0" hidden="1"/>
    </xf>
    <xf numFmtId="0" fontId="6" fillId="0" borderId="3" xfId="1" applyFont="1" applyBorder="1" applyAlignment="1" applyProtection="1">
      <alignment vertical="center"/>
      <protection locked="0" hidden="1"/>
    </xf>
    <xf numFmtId="38" fontId="6" fillId="2" borderId="1" xfId="2" applyFont="1" applyFill="1" applyBorder="1" applyAlignment="1" applyProtection="1">
      <alignment horizontal="center" vertical="center"/>
      <protection locked="0" hidden="1"/>
    </xf>
    <xf numFmtId="0" fontId="6" fillId="0" borderId="2" xfId="1" applyFont="1" applyBorder="1" applyAlignment="1" applyProtection="1">
      <alignment horizontal="center" vertical="center"/>
      <protection locked="0" hidden="1"/>
    </xf>
    <xf numFmtId="0" fontId="6" fillId="0" borderId="0" xfId="1" applyFont="1" applyBorder="1" applyAlignment="1" applyProtection="1">
      <alignment horizontal="left" vertical="center"/>
      <protection hidden="1"/>
    </xf>
    <xf numFmtId="0" fontId="6" fillId="0" borderId="0" xfId="1" applyFont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wrapText="1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1" fillId="0" borderId="0" xfId="1" applyAlignment="1" applyProtection="1">
      <alignment horizontal="left" vertical="center"/>
      <protection hidden="1"/>
    </xf>
    <xf numFmtId="0" fontId="6" fillId="0" borderId="0" xfId="1" applyFont="1" applyAlignment="1" applyProtection="1">
      <alignment horizontal="left" vertical="center" wrapText="1"/>
      <protection hidden="1"/>
    </xf>
    <xf numFmtId="0" fontId="6" fillId="0" borderId="0" xfId="1" applyFont="1" applyAlignment="1" applyProtection="1">
      <alignment horizontal="left" vertical="center"/>
      <protection hidden="1"/>
    </xf>
    <xf numFmtId="0" fontId="6" fillId="0" borderId="0" xfId="1" applyFont="1" applyBorder="1" applyAlignment="1" applyProtection="1">
      <alignment horizontal="left" vertical="center" wrapText="1"/>
      <protection hidden="1"/>
    </xf>
    <xf numFmtId="0" fontId="6" fillId="0" borderId="0" xfId="1" applyFont="1" applyAlignment="1" applyProtection="1">
      <alignment horizontal="left" wrapText="1"/>
      <protection hidden="1"/>
    </xf>
    <xf numFmtId="38" fontId="9" fillId="3" borderId="5" xfId="2" applyFont="1" applyFill="1" applyBorder="1" applyAlignment="1" applyProtection="1">
      <alignment horizontal="center" vertical="center"/>
      <protection hidden="1"/>
    </xf>
    <xf numFmtId="0" fontId="9" fillId="3" borderId="6" xfId="1" applyFont="1" applyFill="1" applyBorder="1" applyAlignment="1" applyProtection="1">
      <alignment vertical="center"/>
      <protection hidden="1"/>
    </xf>
    <xf numFmtId="38" fontId="8" fillId="3" borderId="5" xfId="2" applyFont="1" applyFill="1" applyBorder="1" applyAlignment="1" applyProtection="1">
      <alignment horizontal="center" vertical="center"/>
      <protection hidden="1"/>
    </xf>
    <xf numFmtId="0" fontId="6" fillId="0" borderId="19" xfId="1" applyFont="1" applyBorder="1" applyAlignment="1" applyProtection="1">
      <alignment vertical="center"/>
      <protection hidden="1"/>
    </xf>
    <xf numFmtId="0" fontId="6" fillId="0" borderId="0" xfId="1" applyFont="1" applyBorder="1" applyAlignment="1" applyProtection="1">
      <alignment vertical="center"/>
      <protection hidden="1"/>
    </xf>
    <xf numFmtId="0" fontId="0" fillId="0" borderId="0" xfId="0" applyProtection="1">
      <alignment vertical="center"/>
    </xf>
    <xf numFmtId="0" fontId="1" fillId="0" borderId="0" xfId="1" applyAlignment="1" applyProtection="1">
      <alignment horizontal="center" vertical="center"/>
      <protection hidden="1"/>
    </xf>
    <xf numFmtId="0" fontId="1" fillId="0" borderId="0" xfId="1" applyAlignment="1" applyProtection="1">
      <alignment vertical="center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0" fontId="6" fillId="7" borderId="1" xfId="1" applyFont="1" applyFill="1" applyBorder="1" applyAlignment="1" applyProtection="1">
      <alignment horizontal="center" vertical="center"/>
      <protection hidden="1"/>
    </xf>
    <xf numFmtId="0" fontId="6" fillId="7" borderId="3" xfId="1" applyFont="1" applyFill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 applyProtection="1">
      <alignment horizontal="center" vertical="center"/>
      <protection hidden="1"/>
    </xf>
    <xf numFmtId="0" fontId="6" fillId="2" borderId="3" xfId="1" applyFont="1" applyFill="1" applyBorder="1" applyAlignment="1" applyProtection="1">
      <alignment horizontal="center" vertical="center"/>
      <protection hidden="1"/>
    </xf>
    <xf numFmtId="38" fontId="11" fillId="0" borderId="0" xfId="2" applyFont="1" applyFill="1" applyBorder="1" applyAlignment="1" applyProtection="1">
      <alignment horizontal="center" vertical="center"/>
      <protection hidden="1"/>
    </xf>
    <xf numFmtId="38" fontId="11" fillId="0" borderId="0" xfId="2" applyFont="1" applyFill="1" applyBorder="1" applyAlignment="1" applyProtection="1">
      <alignment vertical="center"/>
      <protection hidden="1"/>
    </xf>
    <xf numFmtId="38" fontId="11" fillId="0" borderId="0" xfId="2" applyFont="1" applyFill="1" applyBorder="1" applyAlignment="1" applyProtection="1">
      <alignment vertical="center"/>
      <protection hidden="1"/>
    </xf>
    <xf numFmtId="0" fontId="6" fillId="0" borderId="20" xfId="1" applyFont="1" applyBorder="1" applyAlignment="1" applyProtection="1">
      <alignment horizontal="center" vertical="center"/>
      <protection hidden="1"/>
    </xf>
    <xf numFmtId="0" fontId="6" fillId="0" borderId="0" xfId="1" applyFont="1" applyBorder="1" applyAlignment="1" applyProtection="1">
      <alignment horizontal="center"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8">
    <dxf>
      <font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C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1295400</xdr:colOff>
      <xdr:row>1</xdr:row>
      <xdr:rowOff>76200</xdr:rowOff>
    </xdr:from>
    <xdr:to>
      <xdr:col>1</xdr:col>
      <xdr:colOff>91440</xdr:colOff>
      <xdr:row>1</xdr:row>
      <xdr:rowOff>266700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541020"/>
          <a:ext cx="61722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6024373\Documents\&#21442;&#32771;\&#21402;&#21172;&#30465;&#20316;&#25104;&#31777;&#26131;&#35336;&#31639;&#12484;&#12540;&#12523;koyou_kanikeis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算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tabSelected="1" view="pageBreakPreview" zoomScaleNormal="100" zoomScaleSheetLayoutView="100" workbookViewId="0">
      <selection sqref="A1:G1"/>
    </sheetView>
  </sheetViews>
  <sheetFormatPr defaultRowHeight="13.5"/>
  <cols>
    <col min="1" max="1" width="26.5" customWidth="1"/>
    <col min="2" max="4" width="11.125" customWidth="1"/>
    <col min="5" max="5" width="4.125" customWidth="1"/>
    <col min="6" max="6" width="14.625" customWidth="1"/>
    <col min="7" max="7" width="81.25" customWidth="1"/>
  </cols>
  <sheetData>
    <row r="1" spans="1:7" ht="36.6" customHeight="1">
      <c r="A1" s="79" t="s">
        <v>611</v>
      </c>
      <c r="B1" s="79"/>
      <c r="C1" s="80"/>
      <c r="D1" s="80"/>
      <c r="E1" s="80"/>
      <c r="F1" s="80"/>
      <c r="G1" s="80"/>
    </row>
    <row r="2" spans="1:7" ht="25.9" customHeight="1">
      <c r="A2" s="60" t="s">
        <v>607</v>
      </c>
      <c r="B2" s="5"/>
      <c r="C2" s="6"/>
      <c r="D2" s="6"/>
      <c r="E2" s="6"/>
      <c r="F2" s="6"/>
      <c r="G2" s="6"/>
    </row>
    <row r="3" spans="1:7" ht="47.45" customHeight="1">
      <c r="A3" s="61" t="s">
        <v>1</v>
      </c>
      <c r="B3" s="71"/>
      <c r="C3" s="71"/>
      <c r="D3" s="71"/>
      <c r="E3" s="108"/>
      <c r="F3" s="90" t="s">
        <v>605</v>
      </c>
      <c r="G3" s="91"/>
    </row>
    <row r="4" spans="1:7" ht="31.9" customHeight="1">
      <c r="A4" s="61"/>
      <c r="B4" s="109"/>
      <c r="C4" s="110"/>
      <c r="D4" s="109"/>
      <c r="E4" s="108"/>
      <c r="F4" s="88" t="s">
        <v>602</v>
      </c>
      <c r="G4" s="89"/>
    </row>
    <row r="5" spans="1:7" ht="47.45" customHeight="1">
      <c r="A5" s="61" t="s">
        <v>2</v>
      </c>
      <c r="B5" s="71"/>
      <c r="C5" s="71"/>
      <c r="D5" s="71"/>
      <c r="E5" s="108"/>
      <c r="F5" s="90" t="s">
        <v>612</v>
      </c>
      <c r="G5" s="91"/>
    </row>
    <row r="6" spans="1:7" ht="31.9" customHeight="1">
      <c r="A6" s="61"/>
      <c r="B6" s="111"/>
      <c r="C6" s="111"/>
      <c r="D6" s="111"/>
      <c r="E6" s="108"/>
      <c r="F6" s="92" t="s">
        <v>603</v>
      </c>
      <c r="G6" s="93"/>
    </row>
    <row r="7" spans="1:7" ht="17.25">
      <c r="A7" s="61" t="s">
        <v>3</v>
      </c>
      <c r="B7" s="81"/>
      <c r="C7" s="82"/>
      <c r="D7" s="83"/>
      <c r="E7" s="108"/>
      <c r="F7" s="94" t="s">
        <v>599</v>
      </c>
      <c r="G7" s="91"/>
    </row>
    <row r="8" spans="1:7" ht="16.149999999999999" customHeight="1">
      <c r="A8" s="61" t="s">
        <v>4</v>
      </c>
      <c r="B8" s="112" t="s">
        <v>66</v>
      </c>
      <c r="C8" s="113"/>
      <c r="D8" s="114"/>
      <c r="E8" s="108"/>
      <c r="F8" s="95"/>
      <c r="G8" s="96"/>
    </row>
    <row r="9" spans="1:7" ht="17.25">
      <c r="A9" s="61" t="s">
        <v>78</v>
      </c>
      <c r="B9" s="84"/>
      <c r="C9" s="85"/>
      <c r="D9" s="85"/>
      <c r="E9" s="115" t="s">
        <v>595</v>
      </c>
      <c r="F9" s="97" t="s">
        <v>604</v>
      </c>
      <c r="G9" s="94"/>
    </row>
    <row r="10" spans="1:7" ht="17.25">
      <c r="A10" s="61" t="s">
        <v>0</v>
      </c>
      <c r="B10" s="116"/>
      <c r="C10" s="117"/>
      <c r="D10" s="117"/>
      <c r="E10" s="118"/>
      <c r="F10" s="86" t="s">
        <v>0</v>
      </c>
      <c r="G10" s="87"/>
    </row>
    <row r="11" spans="1:7" ht="18" thickBot="1">
      <c r="A11" s="61" t="s">
        <v>0</v>
      </c>
      <c r="B11" s="119"/>
      <c r="C11" s="119"/>
      <c r="D11" s="119"/>
      <c r="E11" s="120"/>
      <c r="F11" s="100" t="s">
        <v>0</v>
      </c>
      <c r="G11" s="100"/>
    </row>
    <row r="12" spans="1:7" ht="19.5" thickBot="1">
      <c r="A12" s="62" t="s">
        <v>5</v>
      </c>
      <c r="B12" s="105" t="str">
        <f>計算シート!B20</f>
        <v/>
      </c>
      <c r="C12" s="104"/>
      <c r="D12" s="104"/>
      <c r="E12" s="59" t="s">
        <v>596</v>
      </c>
      <c r="F12" s="86" t="s">
        <v>597</v>
      </c>
      <c r="G12" s="86"/>
    </row>
    <row r="13" spans="1:7" ht="34.9" customHeight="1" thickBot="1">
      <c r="A13" s="63"/>
      <c r="B13" s="2"/>
      <c r="C13" s="3"/>
      <c r="D13" s="3"/>
      <c r="E13" s="3"/>
      <c r="F13" s="99" t="s">
        <v>598</v>
      </c>
      <c r="G13" s="102"/>
    </row>
    <row r="14" spans="1:7" ht="19.5" thickBot="1">
      <c r="A14" s="63" t="s">
        <v>6</v>
      </c>
      <c r="B14" s="103" t="str">
        <f>計算シート!B21</f>
        <v/>
      </c>
      <c r="C14" s="104"/>
      <c r="D14" s="104"/>
      <c r="E14" s="59" t="s">
        <v>596</v>
      </c>
      <c r="F14" s="106"/>
      <c r="G14" s="107"/>
    </row>
    <row r="15" spans="1:7" ht="17.25">
      <c r="A15" s="4" t="s">
        <v>0</v>
      </c>
      <c r="B15" s="116"/>
      <c r="C15" s="121"/>
      <c r="D15" s="121"/>
      <c r="E15" s="122"/>
      <c r="F15" s="101" t="s">
        <v>0</v>
      </c>
      <c r="G15" s="102"/>
    </row>
    <row r="16" spans="1:7" ht="19.149999999999999" customHeight="1">
      <c r="A16" s="99" t="s">
        <v>600</v>
      </c>
      <c r="B16" s="100"/>
      <c r="C16" s="100"/>
      <c r="D16" s="100"/>
      <c r="E16" s="100"/>
      <c r="F16" s="100"/>
      <c r="G16" s="100"/>
    </row>
    <row r="17" spans="1:7" ht="19.149999999999999" customHeight="1">
      <c r="A17" s="100" t="s">
        <v>601</v>
      </c>
      <c r="B17" s="100"/>
      <c r="C17" s="100"/>
      <c r="D17" s="100"/>
      <c r="E17" s="100"/>
      <c r="F17" s="100"/>
      <c r="G17" s="100"/>
    </row>
    <row r="18" spans="1:7" ht="14.25">
      <c r="A18" s="1"/>
      <c r="B18" s="2"/>
      <c r="C18" s="3"/>
      <c r="D18" s="3"/>
      <c r="E18" s="3"/>
      <c r="F18" s="1"/>
      <c r="G18" s="7"/>
    </row>
    <row r="19" spans="1:7">
      <c r="A19" s="98"/>
      <c r="B19" s="98"/>
      <c r="C19" s="98"/>
      <c r="D19" s="98"/>
      <c r="E19" s="98"/>
      <c r="F19" s="98"/>
      <c r="G19" s="98"/>
    </row>
  </sheetData>
  <sheetProtection password="CC25" sheet="1" objects="1" scenarios="1"/>
  <mergeCells count="25">
    <mergeCell ref="A19:G19"/>
    <mergeCell ref="A16:G16"/>
    <mergeCell ref="A17:G17"/>
    <mergeCell ref="F11:G11"/>
    <mergeCell ref="B11:D11"/>
    <mergeCell ref="F12:G12"/>
    <mergeCell ref="B15:D15"/>
    <mergeCell ref="F15:G15"/>
    <mergeCell ref="B14:D14"/>
    <mergeCell ref="B12:D12"/>
    <mergeCell ref="F13:G13"/>
    <mergeCell ref="F14:G14"/>
    <mergeCell ref="A1:G1"/>
    <mergeCell ref="B7:D7"/>
    <mergeCell ref="B9:D9"/>
    <mergeCell ref="F10:G10"/>
    <mergeCell ref="F4:G4"/>
    <mergeCell ref="F3:G3"/>
    <mergeCell ref="B10:D10"/>
    <mergeCell ref="B8:C8"/>
    <mergeCell ref="F5:G5"/>
    <mergeCell ref="F6:G6"/>
    <mergeCell ref="F7:G7"/>
    <mergeCell ref="F8:G8"/>
    <mergeCell ref="F9:G9"/>
  </mergeCells>
  <phoneticPr fontId="12"/>
  <pageMargins left="0.7" right="0.7" top="0.75" bottom="0.75" header="0.3" footer="0.3"/>
  <pageSetup paperSize="9" scale="8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145B5AD-8303-4B41-A248-5CA22556CDE4}">
            <xm:f>$B$4='C:\Users\T6024373\Documents\参考\[厚労省作成簡易計算ツールkoyou_kanikeisan.xlsm]総合計算'!#REF!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B5:D5</xm:sqref>
        </x14:conditionalFormatting>
        <x14:conditionalFormatting xmlns:xm="http://schemas.microsoft.com/office/excel/2006/main">
          <x14:cfRule type="expression" priority="2" id="{198FF445-3B71-4C8A-80D5-A6D2604E68C5}">
            <xm:f>$B$4='C:\Users\T6024373\Documents\参考\[厚労省作成簡易計算ツールkoyou_kanikeisan.xlsm]総合計算'!#REF!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3" id="{5F2AB5C4-CFE5-4395-BA46-B3490EDCB5F3}">
            <xm:f>$B$4='C:\Users\T6024373\Documents\参考\[厚労省作成簡易計算ツールkoyou_kanikeisan.xlsm]総合計算'!#REF!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5" id="{98E2FBAF-BABD-44ED-98BA-5AF43696A96A}">
            <xm:f>$B$4='C:\Users\T6024373\Documents\参考\[厚労省作成簡易計算ツールkoyou_kanikeisan.xlsm]総合計算'!#REF!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6" id="{B63234E2-CE3C-4A0E-927D-7887A634C8B1}">
            <xm:f>$B$4='C:\Users\T6024373\Documents\参考\[厚労省作成簡易計算ツールkoyou_kanikeisan.xlsm]総合計算'!#REF!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7" id="{ABA8FBEF-4F9F-4CB6-866B-49D4E368DE49}">
            <xm:f>$B$4='C:\Users\T6024373\Documents\参考\[厚労省作成簡易計算ツールkoyou_kanikeisan.xlsm]総合計算'!#REF!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8" id="{54738EF9-757D-4A90-8073-08380F57CA30}">
            <xm:f>$B$4='C:\Users\T6024373\Documents\参考\[厚労省作成簡易計算ツールkoyou_kanikeisan.xlsm]総合計算'!#REF!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B5:D5</xm:sqref>
        </x14:conditionalFormatting>
        <x14:conditionalFormatting xmlns:xm="http://schemas.microsoft.com/office/excel/2006/main">
          <x14:cfRule type="expression" priority="1" id="{D741F2B1-A211-4C33-B5E7-253FBC5AE006}">
            <xm:f>$B$4='C:\Users\T6024373\Documents\参考\[厚労省作成簡易計算ツールkoyou_kanikeisan.xlsm]総合計算'!#REF!</xm:f>
            <x14:dxf>
              <font>
                <color theme="1"/>
              </font>
              <fill>
                <patternFill>
                  <bgColor theme="4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B3:D3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リスト!$A$2:$A$17</xm:f>
          </x14:formula1>
          <xm:sqref>B3 B5</xm:sqref>
        </x14:dataValidation>
        <x14:dataValidation type="list" allowBlank="1" showInputMessage="1" showErrorMessage="1">
          <x14:formula1>
            <xm:f>リスト!$C$2:$C$13</xm:f>
          </x14:formula1>
          <xm:sqref>C3 C5</xm:sqref>
        </x14:dataValidation>
        <x14:dataValidation type="list" allowBlank="1" showInputMessage="1" showErrorMessage="1">
          <x14:formula1>
            <xm:f>リスト!$E$2:$E$32</xm:f>
          </x14:formula1>
          <xm:sqref>D3 D5</xm:sqref>
        </x14:dataValidation>
        <x14:dataValidation type="list" allowBlank="1" showInputMessage="1" showErrorMessage="1">
          <x14:formula1>
            <xm:f>リスト!$G$2:$G$5</xm:f>
          </x14:formula1>
          <xm:sqref>B7:D7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workbookViewId="0">
      <selection activeCell="F4" sqref="F4:G4"/>
    </sheetView>
  </sheetViews>
  <sheetFormatPr defaultRowHeight="13.5"/>
  <cols>
    <col min="1" max="2" width="11.125" customWidth="1"/>
    <col min="7" max="7" width="21" customWidth="1"/>
    <col min="8" max="8" width="30.75" customWidth="1"/>
  </cols>
  <sheetData>
    <row r="2" spans="1:7">
      <c r="A2" t="s">
        <v>7</v>
      </c>
      <c r="B2">
        <v>2004</v>
      </c>
      <c r="C2" t="s">
        <v>23</v>
      </c>
      <c r="D2">
        <v>1</v>
      </c>
      <c r="E2" t="s">
        <v>35</v>
      </c>
      <c r="F2">
        <v>1</v>
      </c>
      <c r="G2" t="s">
        <v>67</v>
      </c>
    </row>
    <row r="3" spans="1:7">
      <c r="A3" t="s">
        <v>8</v>
      </c>
      <c r="B3">
        <v>2005</v>
      </c>
      <c r="C3" t="s">
        <v>24</v>
      </c>
      <c r="D3">
        <v>2</v>
      </c>
      <c r="E3" t="s">
        <v>36</v>
      </c>
      <c r="F3">
        <v>2</v>
      </c>
      <c r="G3" t="s">
        <v>68</v>
      </c>
    </row>
    <row r="4" spans="1:7">
      <c r="A4" t="s">
        <v>9</v>
      </c>
      <c r="B4">
        <v>2006</v>
      </c>
      <c r="C4" t="s">
        <v>25</v>
      </c>
      <c r="D4">
        <v>3</v>
      </c>
      <c r="E4" t="s">
        <v>37</v>
      </c>
      <c r="F4">
        <v>3</v>
      </c>
      <c r="G4" t="s">
        <v>69</v>
      </c>
    </row>
    <row r="5" spans="1:7">
      <c r="A5" t="s">
        <v>10</v>
      </c>
      <c r="B5">
        <v>2007</v>
      </c>
      <c r="C5" t="s">
        <v>26</v>
      </c>
      <c r="D5">
        <v>4</v>
      </c>
      <c r="E5" t="s">
        <v>38</v>
      </c>
      <c r="F5">
        <v>4</v>
      </c>
      <c r="G5" t="s">
        <v>70</v>
      </c>
    </row>
    <row r="6" spans="1:7">
      <c r="A6" t="s">
        <v>11</v>
      </c>
      <c r="B6">
        <v>2008</v>
      </c>
      <c r="C6" t="s">
        <v>27</v>
      </c>
      <c r="D6">
        <v>5</v>
      </c>
      <c r="E6" t="s">
        <v>39</v>
      </c>
      <c r="F6">
        <v>5</v>
      </c>
    </row>
    <row r="7" spans="1:7">
      <c r="A7" t="s">
        <v>12</v>
      </c>
      <c r="B7">
        <v>2009</v>
      </c>
      <c r="C7" t="s">
        <v>28</v>
      </c>
      <c r="D7">
        <v>6</v>
      </c>
      <c r="E7" t="s">
        <v>40</v>
      </c>
      <c r="F7">
        <v>6</v>
      </c>
    </row>
    <row r="8" spans="1:7">
      <c r="A8" t="s">
        <v>13</v>
      </c>
      <c r="B8">
        <v>2010</v>
      </c>
      <c r="C8" t="s">
        <v>29</v>
      </c>
      <c r="D8">
        <v>7</v>
      </c>
      <c r="E8" t="s">
        <v>41</v>
      </c>
      <c r="F8">
        <v>7</v>
      </c>
    </row>
    <row r="9" spans="1:7">
      <c r="A9" t="s">
        <v>14</v>
      </c>
      <c r="B9">
        <v>2011</v>
      </c>
      <c r="C9" t="s">
        <v>30</v>
      </c>
      <c r="D9">
        <v>8</v>
      </c>
      <c r="E9" t="s">
        <v>42</v>
      </c>
      <c r="F9">
        <v>8</v>
      </c>
    </row>
    <row r="10" spans="1:7">
      <c r="A10" t="s">
        <v>15</v>
      </c>
      <c r="B10">
        <v>2012</v>
      </c>
      <c r="C10" t="s">
        <v>31</v>
      </c>
      <c r="D10">
        <v>9</v>
      </c>
      <c r="E10" t="s">
        <v>43</v>
      </c>
      <c r="F10">
        <v>9</v>
      </c>
    </row>
    <row r="11" spans="1:7">
      <c r="A11" t="s">
        <v>16</v>
      </c>
      <c r="B11">
        <v>2013</v>
      </c>
      <c r="C11" t="s">
        <v>32</v>
      </c>
      <c r="D11">
        <v>10</v>
      </c>
      <c r="E11" t="s">
        <v>44</v>
      </c>
      <c r="F11">
        <v>10</v>
      </c>
    </row>
    <row r="12" spans="1:7">
      <c r="A12" t="s">
        <v>17</v>
      </c>
      <c r="B12">
        <v>2014</v>
      </c>
      <c r="C12" t="s">
        <v>33</v>
      </c>
      <c r="D12">
        <v>11</v>
      </c>
      <c r="E12" t="s">
        <v>45</v>
      </c>
      <c r="F12">
        <v>11</v>
      </c>
    </row>
    <row r="13" spans="1:7">
      <c r="A13" t="s">
        <v>18</v>
      </c>
      <c r="B13">
        <v>2015</v>
      </c>
      <c r="C13" t="s">
        <v>34</v>
      </c>
      <c r="D13">
        <v>12</v>
      </c>
      <c r="E13" t="s">
        <v>46</v>
      </c>
      <c r="F13">
        <v>12</v>
      </c>
    </row>
    <row r="14" spans="1:7">
      <c r="A14" t="s">
        <v>19</v>
      </c>
      <c r="B14">
        <v>2016</v>
      </c>
      <c r="E14" t="s">
        <v>47</v>
      </c>
      <c r="F14">
        <v>13</v>
      </c>
    </row>
    <row r="15" spans="1:7">
      <c r="A15" t="s">
        <v>20</v>
      </c>
      <c r="B15">
        <v>2017</v>
      </c>
      <c r="E15" t="s">
        <v>48</v>
      </c>
      <c r="F15">
        <v>14</v>
      </c>
    </row>
    <row r="16" spans="1:7">
      <c r="A16" t="s">
        <v>21</v>
      </c>
      <c r="B16">
        <v>2018</v>
      </c>
      <c r="E16" t="s">
        <v>49</v>
      </c>
      <c r="F16">
        <v>15</v>
      </c>
    </row>
    <row r="17" spans="1:6">
      <c r="A17" t="s">
        <v>22</v>
      </c>
      <c r="B17">
        <v>2019</v>
      </c>
      <c r="E17" t="s">
        <v>50</v>
      </c>
      <c r="F17">
        <v>16</v>
      </c>
    </row>
    <row r="18" spans="1:6">
      <c r="E18" t="s">
        <v>51</v>
      </c>
      <c r="F18">
        <v>17</v>
      </c>
    </row>
    <row r="19" spans="1:6">
      <c r="E19" t="s">
        <v>52</v>
      </c>
      <c r="F19">
        <v>18</v>
      </c>
    </row>
    <row r="20" spans="1:6">
      <c r="E20" t="s">
        <v>53</v>
      </c>
      <c r="F20">
        <v>19</v>
      </c>
    </row>
    <row r="21" spans="1:6">
      <c r="E21" t="s">
        <v>54</v>
      </c>
      <c r="F21">
        <v>20</v>
      </c>
    </row>
    <row r="22" spans="1:6">
      <c r="E22" t="s">
        <v>55</v>
      </c>
      <c r="F22">
        <v>21</v>
      </c>
    </row>
    <row r="23" spans="1:6">
      <c r="E23" t="s">
        <v>56</v>
      </c>
      <c r="F23">
        <v>22</v>
      </c>
    </row>
    <row r="24" spans="1:6">
      <c r="E24" t="s">
        <v>57</v>
      </c>
      <c r="F24">
        <v>23</v>
      </c>
    </row>
    <row r="25" spans="1:6">
      <c r="E25" t="s">
        <v>58</v>
      </c>
      <c r="F25">
        <v>24</v>
      </c>
    </row>
    <row r="26" spans="1:6">
      <c r="E26" t="s">
        <v>59</v>
      </c>
      <c r="F26">
        <v>25</v>
      </c>
    </row>
    <row r="27" spans="1:6">
      <c r="E27" t="s">
        <v>60</v>
      </c>
      <c r="F27">
        <v>26</v>
      </c>
    </row>
    <row r="28" spans="1:6">
      <c r="E28" t="s">
        <v>61</v>
      </c>
      <c r="F28">
        <v>27</v>
      </c>
    </row>
    <row r="29" spans="1:6">
      <c r="E29" t="s">
        <v>62</v>
      </c>
      <c r="F29">
        <v>28</v>
      </c>
    </row>
    <row r="30" spans="1:6">
      <c r="E30" t="s">
        <v>63</v>
      </c>
      <c r="F30">
        <v>29</v>
      </c>
    </row>
    <row r="31" spans="1:6">
      <c r="E31" t="s">
        <v>64</v>
      </c>
      <c r="F31">
        <v>30</v>
      </c>
    </row>
    <row r="32" spans="1:6">
      <c r="E32" t="s">
        <v>65</v>
      </c>
      <c r="F32">
        <v>31</v>
      </c>
    </row>
  </sheetData>
  <phoneticPr fontId="1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2"/>
  <sheetViews>
    <sheetView showGridLines="0" topLeftCell="D1" workbookViewId="0">
      <selection activeCell="F4" sqref="F4:G4"/>
    </sheetView>
  </sheetViews>
  <sheetFormatPr defaultColWidth="8.875" defaultRowHeight="14.25"/>
  <cols>
    <col min="1" max="1" width="37.5" style="19" customWidth="1"/>
    <col min="2" max="2" width="12.875" style="11" customWidth="1"/>
    <col min="3" max="3" width="4.5" style="15" customWidth="1"/>
    <col min="4" max="4" width="30.625" style="16" customWidth="1"/>
    <col min="5" max="5" width="22.625" style="16" customWidth="1"/>
    <col min="6" max="6" width="4.75" style="16" customWidth="1"/>
    <col min="7" max="7" width="31.375" style="16" customWidth="1"/>
    <col min="8" max="8" width="24.5" style="16" customWidth="1"/>
    <col min="9" max="9" width="21" style="17" customWidth="1"/>
    <col min="10" max="12" width="19" style="16" customWidth="1"/>
    <col min="13" max="15" width="11.625" style="16" bestFit="1" customWidth="1"/>
    <col min="16" max="16384" width="8.875" style="16"/>
  </cols>
  <sheetData>
    <row r="2" spans="1:18" s="13" customFormat="1" ht="33" customHeight="1" thickBot="1">
      <c r="A2" s="53"/>
      <c r="B2" s="54"/>
      <c r="D2" s="48" t="s">
        <v>150</v>
      </c>
      <c r="E2" s="48" t="s">
        <v>123</v>
      </c>
      <c r="G2" s="48" t="s">
        <v>149</v>
      </c>
      <c r="H2" s="48" t="s">
        <v>145</v>
      </c>
      <c r="I2"/>
      <c r="J2"/>
      <c r="K2"/>
      <c r="L2"/>
    </row>
    <row r="3" spans="1:18" ht="15" thickTop="1">
      <c r="A3" s="10" t="s">
        <v>1</v>
      </c>
      <c r="B3" s="38" t="e">
        <f>DATEVALUE(簡易計算ツール!B3&amp;簡易計算ツール!C3&amp;簡易計算ツール!D3)</f>
        <v>#VALUE!</v>
      </c>
      <c r="D3" s="42" t="e">
        <f>DATE(YEAR(B3),7,31)</f>
        <v>#VALUE!</v>
      </c>
      <c r="E3" s="43" t="str">
        <f>IFERROR(IF(B3-D3&gt;0,DATE(YEAR(B3),8,1),DATE(YEAR(B3)-1,8,1)),"")</f>
        <v/>
      </c>
      <c r="G3" s="45" t="e">
        <f>IF(AND(DATE(YEAR(B3),7,31)&gt;=B3,DATE(YEAR(B3),8,1)&lt;=B5),"○","")</f>
        <v>#VALUE!</v>
      </c>
      <c r="H3" s="46" t="str">
        <f>IFERROR(IF($G$3="○",DATEDIF(B3,D3,"d")+1,IF($G$5="○",DATEDIF(B3,D5,"d")+1,"")),"")</f>
        <v/>
      </c>
      <c r="J3"/>
      <c r="K3"/>
      <c r="L3"/>
    </row>
    <row r="4" spans="1:18" ht="33" customHeight="1" thickBot="1">
      <c r="A4" s="10"/>
      <c r="B4" s="41"/>
      <c r="D4" s="49" t="s">
        <v>151</v>
      </c>
      <c r="E4" s="50" t="s">
        <v>123</v>
      </c>
      <c r="G4" s="48" t="s">
        <v>148</v>
      </c>
      <c r="H4" s="48" t="s">
        <v>146</v>
      </c>
      <c r="J4"/>
      <c r="K4"/>
      <c r="L4"/>
    </row>
    <row r="5" spans="1:18" ht="15" thickTop="1">
      <c r="A5" s="10" t="s">
        <v>2</v>
      </c>
      <c r="B5" s="38" t="e">
        <f>DATEVALUE(簡易計算ツール!B5&amp;簡易計算ツール!C5&amp;簡易計算ツール!D5)</f>
        <v>#VALUE!</v>
      </c>
      <c r="D5" s="42" t="e">
        <f>DATE(YEAR(B5),7,31)</f>
        <v>#VALUE!</v>
      </c>
      <c r="E5" s="43" t="str">
        <f>IFERROR(IF(B5-D5&gt;0,DATE(YEAR(B5),8,1),DATE(YEAR(B5)-1,8,1)),"")</f>
        <v/>
      </c>
      <c r="G5" s="47" t="e">
        <f>IF(AND(DATE(YEAR(B5),7,31)&gt;=B3,DATE(YEAR(B5),8,1)&lt;=B5),"○","")</f>
        <v>#VALUE!</v>
      </c>
      <c r="H5" s="46" t="str">
        <f>IFERROR(IF($G$5="○",DATEDIF(D5,B5,"d"),IF($G$3="○",DATEDIF(D3,B5,"d"),"")),"")</f>
        <v/>
      </c>
      <c r="J5"/>
      <c r="K5"/>
      <c r="L5"/>
    </row>
    <row r="6" spans="1:18" ht="28.9" customHeight="1" thickBot="1">
      <c r="A6" s="10" t="s">
        <v>71</v>
      </c>
      <c r="B6" s="39" t="str">
        <f>IFERROR(IF(OR(DATEDIF(B3,B5,"d")+1&gt;360,DATEDIF(B3,B5,"d")+1&lt;0),"",(DATEDIF(B3,B5,"d")+1)),"")</f>
        <v/>
      </c>
      <c r="C6" s="15" t="s">
        <v>448</v>
      </c>
      <c r="D6" s="16" t="s">
        <v>449</v>
      </c>
      <c r="G6" s="48" t="s">
        <v>440</v>
      </c>
      <c r="J6"/>
      <c r="K6"/>
      <c r="L6"/>
    </row>
    <row r="7" spans="1:18" ht="15" thickTop="1">
      <c r="A7" s="10" t="s">
        <v>3</v>
      </c>
      <c r="B7" s="40">
        <f>簡易計算ツール!B7</f>
        <v>0</v>
      </c>
      <c r="G7" s="44" t="e">
        <f>IF(OR(AND(DATE(YEAR(B3),7,31)&gt;=B3,DATE(YEAR(B3),8,1)&lt;=B5),AND(DATE(YEAR(B5),7,31)&gt;=B3,DATE(YEAR(B5),8,1)&lt;=B5)),"○","")</f>
        <v>#VALUE!</v>
      </c>
      <c r="J7"/>
      <c r="K7"/>
      <c r="L7"/>
    </row>
    <row r="8" spans="1:18">
      <c r="A8" s="10" t="s">
        <v>4</v>
      </c>
      <c r="B8" s="40" t="str">
        <f>簡易計算ツール!B8</f>
        <v>月給</v>
      </c>
      <c r="J8"/>
      <c r="K8"/>
      <c r="L8"/>
    </row>
    <row r="9" spans="1:18">
      <c r="A9" s="19" t="s">
        <v>78</v>
      </c>
      <c r="B9" s="39">
        <f>簡易計算ツール!B9</f>
        <v>0</v>
      </c>
      <c r="E9" s="16" t="str">
        <f>IF(0&gt;-1,"",IFERROR(DATEDIF(B3,D3,"d")+1,""))</f>
        <v/>
      </c>
    </row>
    <row r="10" spans="1:18">
      <c r="A10" s="19" t="s">
        <v>79</v>
      </c>
      <c r="B10" s="72">
        <f>B9*6</f>
        <v>0</v>
      </c>
    </row>
    <row r="11" spans="1:18">
      <c r="A11" s="10" t="s">
        <v>72</v>
      </c>
      <c r="B11" s="72">
        <f>ROUNDDOWN(B10/180,0)</f>
        <v>0</v>
      </c>
      <c r="C11" s="12"/>
      <c r="D11" s="18"/>
    </row>
    <row r="12" spans="1:18" ht="35.450000000000003" customHeight="1" thickBot="1">
      <c r="A12" s="51" t="s">
        <v>445</v>
      </c>
      <c r="B12" s="55"/>
      <c r="D12" s="51" t="s">
        <v>446</v>
      </c>
      <c r="E12" s="50"/>
      <c r="F12" s="18"/>
      <c r="G12" s="51" t="s">
        <v>447</v>
      </c>
      <c r="H12" s="52"/>
      <c r="J12" s="12"/>
      <c r="K12" s="18"/>
      <c r="L12" s="12"/>
      <c r="M12" s="18"/>
      <c r="N12" s="12"/>
      <c r="O12" s="18"/>
      <c r="P12" s="12"/>
      <c r="Q12" s="18"/>
      <c r="R12" s="12"/>
    </row>
    <row r="13" spans="1:18" ht="15" thickTop="1">
      <c r="A13" s="20" t="s">
        <v>152</v>
      </c>
      <c r="B13" s="73" t="e">
        <f t="array" ref="B13">IF($G$7="○","",INDEX('計算式あて（当初）'!$J$2:$J$256,MATCH($E$3&amp;"○"&amp;"○"&amp;"○",'計算式あて（当初）'!$C$2:$C$256&amp;'計算式あて（当初）'!$E$2:$E$256&amp;'計算式あて（当初）'!$G$2:$G$256&amp;'計算式あて（当初）'!$I$2:$I$256,0)))</f>
        <v>#VALUE!</v>
      </c>
      <c r="C13" s="16"/>
      <c r="D13" s="20" t="s">
        <v>152</v>
      </c>
      <c r="E13" s="73" t="str">
        <f t="array" ref="E13">IF($H$3="","",INDEX('計算式あて（当初）'!$J$2:$J$256,MATCH($E$3&amp;"○"&amp;"○"&amp;"○",'計算式あて（当初）'!$C$2:$C$256&amp;'計算式あて（当初）'!$E$2:$E$256&amp;'計算式あて（当初）'!$G$2:$G$256&amp;'計算式あて（当初）'!$I$2:$I$256,0)))</f>
        <v/>
      </c>
      <c r="F13" s="16" t="s">
        <v>161</v>
      </c>
      <c r="G13" s="20" t="s">
        <v>152</v>
      </c>
      <c r="H13" s="73" t="str">
        <f t="array" ref="H13">IF($H$5="","",INDEX('計算式あて（当初）'!$J$2:$J$256,MATCH($E$5&amp;"○"&amp;"○"&amp;"○",'計算式あて（当初）'!$C$2:$C$256&amp;'計算式あて（当初）'!$E$2:$E$256&amp;'計算式あて（当初）'!$G$2:$G$256&amp;'計算式あて（当初）'!$I$2:$I$256,0)))</f>
        <v/>
      </c>
      <c r="I13" s="16" t="s">
        <v>162</v>
      </c>
    </row>
    <row r="14" spans="1:18">
      <c r="A14" s="20" t="s">
        <v>153</v>
      </c>
      <c r="B14" s="73" t="e">
        <f t="array" ref="B14">IF($G$7="○","",INDEX('計算式あて（再計算後）'!$J$2:$J$256,MATCH($E$3&amp;"○"&amp;"○"&amp;"○",'計算式あて（再計算後）'!$C$2:$C$256&amp;'計算式あて（再計算後）'!$E$2:$E$256&amp;'計算式あて（再計算後）'!$G$2:$G$256&amp;'計算式あて（再計算後）'!$I$2:$I$256,0)))</f>
        <v>#VALUE!</v>
      </c>
      <c r="C14" s="16"/>
      <c r="D14" s="20" t="s">
        <v>153</v>
      </c>
      <c r="E14" s="73" t="str">
        <f t="array" ref="E14">IF($H$3="","",INDEX('計算式あて（再計算後）'!$J$2:$J$256,MATCH($E$3&amp;"○"&amp;"○"&amp;"○",'計算式あて（再計算後）'!$C$2:$C$256&amp;'計算式あて（再計算後）'!$E$2:$E$256&amp;'計算式あて（再計算後）'!$G$2:$G$256&amp;'計算式あて（再計算後）'!$I$2:$I$256,0)))</f>
        <v/>
      </c>
      <c r="F14" s="16" t="s">
        <v>160</v>
      </c>
      <c r="G14" s="20" t="s">
        <v>153</v>
      </c>
      <c r="H14" s="73" t="str">
        <f t="array" ref="H14">IF($H$5="","",INDEX('計算式あて（再計算後）'!$J$2:$J$256,MATCH($E$5&amp;"○"&amp;"○"&amp;"○",'計算式あて（再計算後）'!$C$2:$C$256&amp;'計算式あて（再計算後）'!$E$2:$E$256&amp;'計算式あて（再計算後）'!$G$2:$G$256&amp;'計算式あて（再計算後）'!$I$2:$I$256,0)))</f>
        <v/>
      </c>
      <c r="I14" s="16" t="s">
        <v>163</v>
      </c>
    </row>
    <row r="15" spans="1:18">
      <c r="A15" s="20" t="s">
        <v>154</v>
      </c>
      <c r="B15" s="73" t="str">
        <f>IFERROR(B14-B13,"")</f>
        <v/>
      </c>
      <c r="C15" s="16"/>
      <c r="D15" s="20" t="s">
        <v>154</v>
      </c>
      <c r="E15" s="35" t="str">
        <f>IFERROR(E14-E13,"")</f>
        <v/>
      </c>
      <c r="G15" s="20" t="s">
        <v>154</v>
      </c>
      <c r="H15" s="35" t="str">
        <f>IFERROR(H14-H13,"")</f>
        <v/>
      </c>
    </row>
    <row r="16" spans="1:18">
      <c r="A16" s="33" t="s">
        <v>438</v>
      </c>
      <c r="B16" s="74" t="str">
        <f>IFERROR(B15*B6,"")</f>
        <v/>
      </c>
      <c r="C16" s="14"/>
      <c r="D16" s="33" t="s">
        <v>438</v>
      </c>
      <c r="E16" s="36" t="str">
        <f>IFERROR(E15*H3,"")</f>
        <v/>
      </c>
      <c r="G16" s="33" t="s">
        <v>438</v>
      </c>
      <c r="H16" s="36" t="str">
        <f>IFERROR(H15*H5,"")</f>
        <v/>
      </c>
    </row>
    <row r="17" spans="1:8">
      <c r="A17" s="20" t="s">
        <v>73</v>
      </c>
      <c r="B17" s="73" t="str">
        <f>IFERROR(ROUNDDOWN(B16*VLOOKUP("★",'計算式あて（再計算後）'!$K$2:$M$256,3,FALSE),0),"")</f>
        <v/>
      </c>
      <c r="C17" s="16"/>
      <c r="D17" s="34" t="s">
        <v>297</v>
      </c>
      <c r="E17" s="36" t="str">
        <f>IFERROR(ROUNDDOWN(E16*IF($H$3&gt;0,VLOOKUP("★",'計算式あて（再計算後）'!$K$2:$M$256,3,FALSE)),2),"")</f>
        <v/>
      </c>
      <c r="G17" s="34" t="s">
        <v>298</v>
      </c>
      <c r="H17" s="36" t="str">
        <f>IFERROR(ROUNDDOWN(H16*IF($H$3&gt;0,VLOOKUP("◆",'計算式あて（再計算後）'!$L$2:$M$256,2,FALSE)),2),"")</f>
        <v/>
      </c>
    </row>
    <row r="18" spans="1:8">
      <c r="A18" s="21" t="s">
        <v>439</v>
      </c>
      <c r="B18" s="75" t="str">
        <f>IFERROR(B16+B17,"")</f>
        <v/>
      </c>
      <c r="C18" s="16"/>
      <c r="D18" s="21" t="s">
        <v>439</v>
      </c>
      <c r="E18" s="37" t="str">
        <f>IFERROR(E16+E17,"")</f>
        <v/>
      </c>
      <c r="G18" s="21" t="s">
        <v>439</v>
      </c>
      <c r="H18" s="37" t="str">
        <f>IFERROR(H16+H17,"")</f>
        <v/>
      </c>
    </row>
    <row r="19" spans="1:8" ht="15" thickBot="1">
      <c r="A19" s="57"/>
      <c r="B19" s="76"/>
      <c r="C19" s="16"/>
      <c r="D19" s="57"/>
      <c r="E19" s="58"/>
      <c r="G19" s="57"/>
      <c r="H19" s="58"/>
    </row>
    <row r="20" spans="1:8" ht="25.9" customHeight="1" thickTop="1" thickBot="1">
      <c r="A20" s="56" t="s">
        <v>5</v>
      </c>
      <c r="B20" s="77" t="str">
        <f>IFERROR(IF($G$7="○",ROUNDDOWN($E$18+$H$18,0),$B$18),"")</f>
        <v/>
      </c>
      <c r="C20" s="16"/>
    </row>
    <row r="21" spans="1:8" ht="25.9" customHeight="1" thickTop="1">
      <c r="A21" s="10" t="s">
        <v>6</v>
      </c>
      <c r="B21" s="72" t="str">
        <f>IFERROR(IF($G$7="○",$E$13*$H$3+$H$13*$H$5,B$13*$B$6),"")</f>
        <v/>
      </c>
      <c r="C21" s="16"/>
    </row>
    <row r="22" spans="1:8">
      <c r="A22" s="10"/>
    </row>
  </sheetData>
  <phoneticPr fontId="12"/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6"/>
  <sheetViews>
    <sheetView showGridLines="0" zoomScaleNormal="100" workbookViewId="0">
      <selection activeCell="F4" sqref="F4:G4"/>
    </sheetView>
  </sheetViews>
  <sheetFormatPr defaultRowHeight="13.5"/>
  <cols>
    <col min="1" max="1" width="10.625" customWidth="1"/>
    <col min="3" max="3" width="10.75" customWidth="1"/>
    <col min="4" max="4" width="20.125" bestFit="1" customWidth="1"/>
    <col min="5" max="5" width="5.875" style="65" customWidth="1"/>
    <col min="6" max="6" width="28" customWidth="1"/>
    <col min="7" max="7" width="8.875" style="65" customWidth="1"/>
    <col min="8" max="8" width="45.375" bestFit="1" customWidth="1"/>
    <col min="9" max="9" width="7.25" style="65" customWidth="1"/>
    <col min="10" max="10" width="14.25" style="65" customWidth="1"/>
    <col min="11" max="11" width="13.75" style="65" customWidth="1"/>
    <col min="12" max="12" width="13.75" style="67" customWidth="1"/>
    <col min="13" max="13" width="11.375" customWidth="1"/>
    <col min="24" max="24" width="8.875" customWidth="1"/>
  </cols>
  <sheetData>
    <row r="1" spans="1:26" s="9" customFormat="1" ht="49.9" customHeight="1">
      <c r="A1" s="30" t="s">
        <v>122</v>
      </c>
      <c r="B1" s="31"/>
      <c r="C1" s="29" t="s">
        <v>155</v>
      </c>
      <c r="D1" s="22" t="s">
        <v>159</v>
      </c>
      <c r="E1" s="68" t="s">
        <v>85</v>
      </c>
      <c r="F1" s="68" t="s">
        <v>158</v>
      </c>
      <c r="G1" s="68" t="s">
        <v>86</v>
      </c>
      <c r="H1" s="68" t="s">
        <v>157</v>
      </c>
      <c r="I1" s="68" t="s">
        <v>124</v>
      </c>
      <c r="J1" s="68" t="s">
        <v>156</v>
      </c>
      <c r="K1" s="68" t="s">
        <v>441</v>
      </c>
      <c r="L1" s="69" t="s">
        <v>442</v>
      </c>
      <c r="M1" s="22" t="s">
        <v>437</v>
      </c>
      <c r="Z1"/>
    </row>
    <row r="2" spans="1:26" ht="27">
      <c r="A2" s="25"/>
      <c r="B2" s="26" t="s">
        <v>75</v>
      </c>
      <c r="C2" s="24">
        <v>43313</v>
      </c>
      <c r="D2" s="23" t="s">
        <v>67</v>
      </c>
      <c r="E2" s="64" t="str">
        <f>IFERROR(IF(D2=計算シート!$B$7,"○",""),"")</f>
        <v/>
      </c>
      <c r="F2" s="23" t="s">
        <v>76</v>
      </c>
      <c r="G2" s="64" t="str">
        <f>IFERROR(IF(AND(計算シート!$B$11&gt;=2480,計算シート!$B$11&lt;4970),"○",""),"")</f>
        <v/>
      </c>
      <c r="H2" s="23" t="s">
        <v>80</v>
      </c>
      <c r="I2" s="64" t="str">
        <f>G2</f>
        <v/>
      </c>
      <c r="J2" s="64">
        <f>ROUNDDOWN(計算シート!$B$11*0.8,0)</f>
        <v>0</v>
      </c>
      <c r="K2" s="64" t="str">
        <f>IF(AND(計算シート!$E$3='計算式あて（再計算後）'!C2,E2="○",G2="○",I2="○"),"★","")</f>
        <v/>
      </c>
      <c r="L2" s="66" t="str">
        <f>IF(AND(計算シート!$E$5='計算式あて（再計算後）'!C2,E2="○",G2="○",I2="○"),"◆","")</f>
        <v/>
      </c>
      <c r="M2" s="23">
        <v>0.01</v>
      </c>
    </row>
    <row r="3" spans="1:26">
      <c r="A3" s="25"/>
      <c r="B3" s="25"/>
      <c r="C3" s="24">
        <v>43313</v>
      </c>
      <c r="D3" s="23" t="s">
        <v>67</v>
      </c>
      <c r="E3" s="64" t="str">
        <f>IFERROR(IF(D3=計算シート!$B$7,"○",""),"")</f>
        <v/>
      </c>
      <c r="F3" s="23" t="s">
        <v>450</v>
      </c>
      <c r="G3" s="64" t="str">
        <f>IFERROR(IF(AND(計算シート!$B$11&gt;=4970,計算シート!$B$11&lt;=12220),"○",""),"")</f>
        <v/>
      </c>
      <c r="H3" s="23" t="s">
        <v>81</v>
      </c>
      <c r="I3" s="64" t="str">
        <f t="shared" ref="I3:I35" si="0">G3</f>
        <v/>
      </c>
      <c r="J3" s="64">
        <f>ROUNDDOWN(0.8*計算シート!$B$11-0.3*((計算シート!$B$11-4970)/(12220-4970))*計算シート!$B$11,0)</f>
        <v>0</v>
      </c>
      <c r="K3" s="64" t="str">
        <f>IF(AND(計算シート!$E$3='計算式あて（再計算後）'!C3,E3="○",G3="○",I3="○"),"★","")</f>
        <v/>
      </c>
      <c r="L3" s="66" t="str">
        <f>IF(AND(計算シート!$E$5='計算式あて（再計算後）'!C3,E3="○",G3="○",I3="○"),"◆","")</f>
        <v/>
      </c>
      <c r="M3" s="23">
        <v>0.01</v>
      </c>
    </row>
    <row r="4" spans="1:26">
      <c r="A4" s="25"/>
      <c r="B4" s="25"/>
      <c r="C4" s="24">
        <v>43313</v>
      </c>
      <c r="D4" s="23" t="s">
        <v>67</v>
      </c>
      <c r="E4" s="64" t="str">
        <f>IFERROR(IF(D4=計算シート!$B$7,"○",""),"")</f>
        <v/>
      </c>
      <c r="F4" s="23" t="s">
        <v>451</v>
      </c>
      <c r="G4" s="64" t="str">
        <f>IFERROR(IF(AND(計算シート!$B$11&gt;12220,計算シート!$B$11&lt;=13510),"○",""),"")</f>
        <v/>
      </c>
      <c r="H4" s="23" t="s">
        <v>82</v>
      </c>
      <c r="I4" s="64" t="str">
        <f t="shared" si="0"/>
        <v/>
      </c>
      <c r="J4" s="64">
        <f>ROUNDDOWN(計算シート!$B$11*0.5,0)</f>
        <v>0</v>
      </c>
      <c r="K4" s="64" t="str">
        <f>IF(AND(計算シート!$E$3='計算式あて（再計算後）'!C4,E4="○",G4="○",I4="○"),"★","")</f>
        <v/>
      </c>
      <c r="L4" s="66" t="str">
        <f>IF(AND(計算シート!$E$5='計算式あて（再計算後）'!C4,E4="○",G4="○",I4="○"),"◆","")</f>
        <v/>
      </c>
      <c r="M4" s="23">
        <v>0.01</v>
      </c>
    </row>
    <row r="5" spans="1:26">
      <c r="A5" s="25"/>
      <c r="B5" s="25"/>
      <c r="C5" s="24">
        <v>43313</v>
      </c>
      <c r="D5" s="23" t="s">
        <v>67</v>
      </c>
      <c r="E5" s="64" t="str">
        <f>IFERROR(IF(D5=計算シート!$B$7,"○",""),"")</f>
        <v/>
      </c>
      <c r="F5" s="23" t="s">
        <v>77</v>
      </c>
      <c r="G5" s="64" t="str">
        <f>IFERROR(IF(計算シート!$B$11&gt;13510,"○",""),"")</f>
        <v/>
      </c>
      <c r="H5" s="23" t="s">
        <v>102</v>
      </c>
      <c r="I5" s="64" t="str">
        <f t="shared" si="0"/>
        <v/>
      </c>
      <c r="J5" s="64">
        <v>6755</v>
      </c>
      <c r="K5" s="64" t="str">
        <f>IF(AND(計算シート!$E$3='計算式あて（再計算後）'!C5,E5="○",G5="○",I5="○"),"★","")</f>
        <v/>
      </c>
      <c r="L5" s="66" t="str">
        <f>IF(AND(計算シート!$E$5='計算式あて（再計算後）'!C5,E5="○",G5="○",I5="○"),"◆","")</f>
        <v/>
      </c>
      <c r="M5" s="23">
        <v>0.01</v>
      </c>
    </row>
    <row r="6" spans="1:26">
      <c r="A6" s="25"/>
      <c r="B6" s="25"/>
      <c r="C6" s="24">
        <v>43313</v>
      </c>
      <c r="D6" s="23" t="s">
        <v>68</v>
      </c>
      <c r="E6" s="64" t="str">
        <f>IFERROR(IF(D6=計算シート!$B$7,"○",""),"")</f>
        <v/>
      </c>
      <c r="F6" s="23" t="s">
        <v>90</v>
      </c>
      <c r="G6" s="64" t="str">
        <f>IFERROR(IF(AND(計算シート!$B$11&gt;=2480,計算シート!$B$11&lt;4970),"○",""),"")</f>
        <v/>
      </c>
      <c r="H6" s="23" t="s">
        <v>80</v>
      </c>
      <c r="I6" s="64" t="str">
        <f t="shared" si="0"/>
        <v/>
      </c>
      <c r="J6" s="64">
        <f>ROUNDDOWN(計算シート!$B$11*0.8,0)</f>
        <v>0</v>
      </c>
      <c r="K6" s="64" t="str">
        <f>IF(AND(計算シート!$E$3='計算式あて（再計算後）'!C6,E6="○",G6="○",I6="○"),"★","")</f>
        <v/>
      </c>
      <c r="L6" s="66" t="str">
        <f>IF(AND(計算シート!$E$5='計算式あて（再計算後）'!C6,E6="○",G6="○",I6="○"),"◆","")</f>
        <v/>
      </c>
      <c r="M6" s="23">
        <v>0.01</v>
      </c>
    </row>
    <row r="7" spans="1:26">
      <c r="A7" s="25"/>
      <c r="B7" s="25"/>
      <c r="C7" s="24">
        <v>43313</v>
      </c>
      <c r="D7" s="23" t="s">
        <v>68</v>
      </c>
      <c r="E7" s="64" t="str">
        <f>IFERROR(IF(D7=計算シート!$B$7,"○",""),"")</f>
        <v/>
      </c>
      <c r="F7" s="23" t="s">
        <v>91</v>
      </c>
      <c r="G7" s="64" t="str">
        <f>IFERROR(IF(AND(計算シート!$B$11&gt;=4970,計算シート!$B$11&lt;=12220),"○",""),"")</f>
        <v/>
      </c>
      <c r="H7" s="23" t="s">
        <v>81</v>
      </c>
      <c r="I7" s="64" t="str">
        <f t="shared" si="0"/>
        <v/>
      </c>
      <c r="J7" s="64">
        <f>ROUNDDOWN(0.8*計算シート!$B$11-0.3*((計算シート!$B$11-4970)/(12220-4970))*計算シート!$B$11,0)</f>
        <v>0</v>
      </c>
      <c r="K7" s="64" t="str">
        <f>IF(AND(計算シート!$E$3='計算式あて（再計算後）'!C7,E7="○",G7="○",I7="○"),"★","")</f>
        <v/>
      </c>
      <c r="L7" s="66" t="str">
        <f>IF(AND(計算シート!$E$5='計算式あて（再計算後）'!C7,E7="○",G7="○",I7="○"),"◆","")</f>
        <v/>
      </c>
      <c r="M7" s="23">
        <v>0.01</v>
      </c>
    </row>
    <row r="8" spans="1:26">
      <c r="A8" s="25"/>
      <c r="B8" s="25"/>
      <c r="C8" s="24">
        <v>43313</v>
      </c>
      <c r="D8" s="23" t="s">
        <v>68</v>
      </c>
      <c r="E8" s="64" t="str">
        <f>IFERROR(IF(D8=計算シート!$B$7,"○",""),"")</f>
        <v/>
      </c>
      <c r="F8" s="23" t="s">
        <v>92</v>
      </c>
      <c r="G8" s="64" t="str">
        <f>IFERROR(IF(AND(計算シート!$B$11&gt;12220,計算シート!$B$11&lt;=15010),"○",""),"")</f>
        <v/>
      </c>
      <c r="H8" s="23" t="s">
        <v>82</v>
      </c>
      <c r="I8" s="64" t="str">
        <f t="shared" si="0"/>
        <v/>
      </c>
      <c r="J8" s="64">
        <f>ROUNDDOWN(計算シート!$B$11*0.5,0)</f>
        <v>0</v>
      </c>
      <c r="K8" s="64" t="str">
        <f>IF(AND(計算シート!$E$3='計算式あて（再計算後）'!C8,E8="○",G8="○",I8="○"),"★","")</f>
        <v/>
      </c>
      <c r="L8" s="66" t="str">
        <f>IF(AND(計算シート!$E$5='計算式あて（再計算後）'!C8,E8="○",G8="○",I8="○"),"◆","")</f>
        <v/>
      </c>
      <c r="M8" s="23">
        <v>0.01</v>
      </c>
    </row>
    <row r="9" spans="1:26">
      <c r="A9" s="25"/>
      <c r="B9" s="25"/>
      <c r="C9" s="24">
        <v>43313</v>
      </c>
      <c r="D9" s="23" t="s">
        <v>68</v>
      </c>
      <c r="E9" s="64" t="str">
        <f>IFERROR(IF(D9=計算シート!$B$7,"○",""),"")</f>
        <v/>
      </c>
      <c r="F9" s="23" t="s">
        <v>93</v>
      </c>
      <c r="G9" s="64" t="str">
        <f>IFERROR(IF(計算シート!$B$11&gt;15010,"○",""),"")</f>
        <v/>
      </c>
      <c r="H9" s="23" t="s">
        <v>103</v>
      </c>
      <c r="I9" s="64" t="str">
        <f t="shared" si="0"/>
        <v/>
      </c>
      <c r="J9" s="64">
        <v>7505</v>
      </c>
      <c r="K9" s="64" t="str">
        <f>IF(AND(計算シート!$E$3='計算式あて（再計算後）'!C9,E9="○",G9="○",I9="○"),"★","")</f>
        <v/>
      </c>
      <c r="L9" s="66" t="str">
        <f>IF(AND(計算シート!$E$5='計算式あて（再計算後）'!C9,E9="○",G9="○",I9="○"),"◆","")</f>
        <v/>
      </c>
      <c r="M9" s="23">
        <v>0.01</v>
      </c>
    </row>
    <row r="10" spans="1:26">
      <c r="A10" s="25"/>
      <c r="B10" s="25"/>
      <c r="C10" s="24">
        <v>43313</v>
      </c>
      <c r="D10" s="23" t="s">
        <v>69</v>
      </c>
      <c r="E10" s="64" t="str">
        <f>IFERROR(IF(D10=計算シート!$B$7,"○",""),"")</f>
        <v/>
      </c>
      <c r="F10" s="23" t="s">
        <v>90</v>
      </c>
      <c r="G10" s="64" t="str">
        <f>IFERROR(IF(AND(計算シート!$B$11&gt;=2480,計算シート!$B$11&lt;4970),"○",""),"")</f>
        <v/>
      </c>
      <c r="H10" s="23" t="s">
        <v>80</v>
      </c>
      <c r="I10" s="64" t="str">
        <f t="shared" si="0"/>
        <v/>
      </c>
      <c r="J10" s="64">
        <f>ROUNDDOWN(計算シート!$B$11*0.8,0)</f>
        <v>0</v>
      </c>
      <c r="K10" s="64" t="str">
        <f>IF(AND(計算シート!$E$3='計算式あて（再計算後）'!C10,E10="○",G10="○",I10="○"),"★","")</f>
        <v/>
      </c>
      <c r="L10" s="66" t="str">
        <f>IF(AND(計算シート!$E$5='計算式あて（再計算後）'!C10,E10="○",G10="○",I10="○"),"◆","")</f>
        <v/>
      </c>
      <c r="M10" s="23">
        <v>0.01</v>
      </c>
    </row>
    <row r="11" spans="1:26">
      <c r="A11" s="25"/>
      <c r="B11" s="25"/>
      <c r="C11" s="24">
        <v>43313</v>
      </c>
      <c r="D11" s="23" t="s">
        <v>69</v>
      </c>
      <c r="E11" s="64" t="str">
        <f>IFERROR(IF(D11=計算シート!$B$7,"○",""),"")</f>
        <v/>
      </c>
      <c r="F11" s="23" t="s">
        <v>91</v>
      </c>
      <c r="G11" s="64" t="str">
        <f>IFERROR(IF(AND(計算シート!$B$11&gt;=4970,計算シート!$B$11&lt;=12220),"○",""),"")</f>
        <v/>
      </c>
      <c r="H11" s="23" t="s">
        <v>81</v>
      </c>
      <c r="I11" s="64" t="str">
        <f t="shared" si="0"/>
        <v/>
      </c>
      <c r="J11" s="64">
        <f>ROUNDDOWN(0.8*計算シート!$B$11-0.3*((計算シート!$B$11-4970)/(12220-4970))*計算シート!$B$11,0)</f>
        <v>0</v>
      </c>
      <c r="K11" s="64" t="str">
        <f>IF(AND(計算シート!$E$3='計算式あて（再計算後）'!C11,E11="○",G11="○",I11="○"),"★","")</f>
        <v/>
      </c>
      <c r="L11" s="66" t="str">
        <f>IF(AND(計算シート!$E$5='計算式あて（再計算後）'!C11,E11="○",G11="○",I11="○"),"◆","")</f>
        <v/>
      </c>
      <c r="M11" s="23">
        <v>0.01</v>
      </c>
    </row>
    <row r="12" spans="1:26">
      <c r="A12" s="25"/>
      <c r="B12" s="25"/>
      <c r="C12" s="24">
        <v>43313</v>
      </c>
      <c r="D12" s="23" t="s">
        <v>69</v>
      </c>
      <c r="E12" s="64" t="str">
        <f>IFERROR(IF(D12=計算シート!$B$7,"○",""),"")</f>
        <v/>
      </c>
      <c r="F12" s="78" t="s">
        <v>608</v>
      </c>
      <c r="G12" s="64" t="str">
        <f>IFERROR(IF(AND(計算シート!$B$11&gt;12220,計算シート!$B$11&lt;=16510),"○",""),"")</f>
        <v/>
      </c>
      <c r="H12" s="23" t="s">
        <v>82</v>
      </c>
      <c r="I12" s="64" t="str">
        <f t="shared" si="0"/>
        <v/>
      </c>
      <c r="J12" s="64">
        <f>ROUNDDOWN(計算シート!$B$11*0.5,0)</f>
        <v>0</v>
      </c>
      <c r="K12" s="64" t="str">
        <f>IF(AND(計算シート!$E$3='計算式あて（再計算後）'!C12,E12="○",G12="○",I12="○"),"★","")</f>
        <v/>
      </c>
      <c r="L12" s="66" t="str">
        <f>IF(AND(計算シート!$E$5='計算式あて（再計算後）'!C12,E12="○",G12="○",I12="○"),"◆","")</f>
        <v/>
      </c>
      <c r="M12" s="23">
        <v>0.01</v>
      </c>
    </row>
    <row r="13" spans="1:26">
      <c r="A13" s="25"/>
      <c r="B13" s="25"/>
      <c r="C13" s="24">
        <v>43313</v>
      </c>
      <c r="D13" s="23" t="s">
        <v>69</v>
      </c>
      <c r="E13" s="64" t="str">
        <f>IFERROR(IF(D13=計算シート!$B$7,"○",""),"")</f>
        <v/>
      </c>
      <c r="F13" s="78" t="s">
        <v>609</v>
      </c>
      <c r="G13" s="64" t="str">
        <f>IFERROR(IF(計算シート!$B$11&gt;16510,"○",""),"")</f>
        <v/>
      </c>
      <c r="H13" s="78" t="s">
        <v>610</v>
      </c>
      <c r="I13" s="64" t="str">
        <f t="shared" si="0"/>
        <v/>
      </c>
      <c r="J13" s="64">
        <v>8255</v>
      </c>
      <c r="K13" s="64" t="str">
        <f>IF(AND(計算シート!$E$3='計算式あて（再計算後）'!C13,E13="○",G13="○",I13="○"),"★","")</f>
        <v/>
      </c>
      <c r="L13" s="66" t="str">
        <f>IF(AND(計算シート!$E$5='計算式あて（再計算後）'!C13,E13="○",G13="○",I13="○"),"◆","")</f>
        <v/>
      </c>
      <c r="M13" s="23">
        <v>0.01</v>
      </c>
    </row>
    <row r="14" spans="1:26">
      <c r="A14" s="25"/>
      <c r="B14" s="25"/>
      <c r="C14" s="24">
        <v>43313</v>
      </c>
      <c r="D14" s="23" t="s">
        <v>70</v>
      </c>
      <c r="E14" s="64" t="str">
        <f>IFERROR(IF(D14=計算シート!$B$7,"○",""),"")</f>
        <v/>
      </c>
      <c r="F14" s="23" t="s">
        <v>90</v>
      </c>
      <c r="G14" s="64" t="str">
        <f>IFERROR(IF(AND(計算シート!$B$11&gt;=2480,計算シート!$B$11&lt;4970),"○",""),"")</f>
        <v/>
      </c>
      <c r="H14" s="23" t="s">
        <v>80</v>
      </c>
      <c r="I14" s="64" t="str">
        <f t="shared" si="0"/>
        <v/>
      </c>
      <c r="J14" s="64">
        <f>ROUNDDOWN(計算シート!$B$11*0.8,0)</f>
        <v>0</v>
      </c>
      <c r="K14" s="64" t="str">
        <f>IF(AND(計算シート!$E$3='計算式あて（再計算後）'!C14,E14="○",G14="○",I14="○"),"★","")</f>
        <v/>
      </c>
      <c r="L14" s="66" t="str">
        <f>IF(AND(計算シート!$E$5='計算式あて（再計算後）'!C14,E14="○",G14="○",I14="○"),"◆","")</f>
        <v/>
      </c>
      <c r="M14" s="23">
        <v>0.01</v>
      </c>
    </row>
    <row r="15" spans="1:26">
      <c r="A15" s="25"/>
      <c r="B15" s="25"/>
      <c r="C15" s="24">
        <v>43313</v>
      </c>
      <c r="D15" s="23" t="s">
        <v>70</v>
      </c>
      <c r="E15" s="64" t="str">
        <f>IFERROR(IF(D15=計算シート!$B$7,"○",""),"")</f>
        <v/>
      </c>
      <c r="F15" s="23" t="s">
        <v>94</v>
      </c>
      <c r="G15" s="64" t="str">
        <f>IFERROR(IF(AND(計算シート!$B$11&gt;=4970,計算シート!$B$11&lt;=10990),"○",""),"")</f>
        <v/>
      </c>
      <c r="H15" s="23" t="s">
        <v>83</v>
      </c>
      <c r="I15" s="64" t="str">
        <f>IFERROR(IF(J15&lt;J16,"○",""),"")</f>
        <v>○</v>
      </c>
      <c r="J15" s="64">
        <f>ROUNDDOWN(0.8*計算シート!$B$11-0.35*((計算シート!$B$11-4970)/(10990-4970))*計算シート!$B$11,0)</f>
        <v>0</v>
      </c>
      <c r="K15" s="64" t="str">
        <f>IF(AND(計算シート!$E$3='計算式あて（再計算後）'!C15,E15="○",G15="○",I15="○"),"★","")</f>
        <v/>
      </c>
      <c r="L15" s="66" t="str">
        <f>IF(AND(計算シート!$E$5='計算式あて（再計算後）'!C15,E15="○",G15="○",I15="○"),"◆","")</f>
        <v/>
      </c>
      <c r="M15" s="23">
        <v>0.01</v>
      </c>
    </row>
    <row r="16" spans="1:26">
      <c r="A16" s="25"/>
      <c r="B16" s="25"/>
      <c r="C16" s="24">
        <v>43313</v>
      </c>
      <c r="D16" s="23" t="s">
        <v>70</v>
      </c>
      <c r="E16" s="64" t="str">
        <f>IFERROR(IF(D16=計算シート!$B$7,"○",""),"")</f>
        <v/>
      </c>
      <c r="F16" s="23" t="s">
        <v>94</v>
      </c>
      <c r="G16" s="64" t="str">
        <f>IFERROR(IF(AND(計算シート!$B$11&gt;=4970,計算シート!$B$11&lt;=10990),"○",""),"")</f>
        <v/>
      </c>
      <c r="H16" s="23" t="s">
        <v>104</v>
      </c>
      <c r="I16" s="64" t="str">
        <f>IFERROR(IF(J16&lt;J15,"○",""),"")</f>
        <v/>
      </c>
      <c r="J16" s="64">
        <f>ROUNDDOWN(計算シート!$B$11*0.05+(10990*0.4),0)</f>
        <v>4396</v>
      </c>
      <c r="K16" s="64" t="str">
        <f>IF(AND(計算シート!$E$3='計算式あて（再計算後）'!C16,E16="○",G16="○",I16="○"),"★","")</f>
        <v/>
      </c>
      <c r="L16" s="66" t="str">
        <f>IF(AND(計算シート!$E$5='計算式あて（再計算後）'!C16,E16="○",G16="○",I16="○"),"◆","")</f>
        <v/>
      </c>
      <c r="M16" s="23">
        <v>0.01</v>
      </c>
    </row>
    <row r="17" spans="1:13">
      <c r="A17" s="25"/>
      <c r="B17" s="25"/>
      <c r="C17" s="24">
        <v>43313</v>
      </c>
      <c r="D17" s="70" t="s">
        <v>70</v>
      </c>
      <c r="E17" s="64" t="str">
        <f>IFERROR(IF(D17=計算シート!$B$7,"○",""),"")</f>
        <v/>
      </c>
      <c r="F17" s="23" t="s">
        <v>95</v>
      </c>
      <c r="G17" s="64" t="str">
        <f>IFERROR(IF(AND(計算シート!$B$11&gt;10990,計算シート!$B$11&lt;=15750),"○",""),"")</f>
        <v/>
      </c>
      <c r="H17" s="23" t="s">
        <v>84</v>
      </c>
      <c r="I17" s="64" t="str">
        <f t="shared" si="0"/>
        <v/>
      </c>
      <c r="J17" s="64">
        <f>ROUNDDOWN(計算シート!$B$11*0.45,0)</f>
        <v>0</v>
      </c>
      <c r="K17" s="64" t="str">
        <f>IF(AND(計算シート!$E$3='計算式あて（再計算後）'!C17,E17="○",G17="○",I17="○"),"★","")</f>
        <v/>
      </c>
      <c r="L17" s="66" t="str">
        <f>IF(AND(計算シート!$E$5='計算式あて（再計算後）'!C17,E17="○",G17="○",I17="○"),"◆","")</f>
        <v/>
      </c>
      <c r="M17" s="23">
        <v>0.01</v>
      </c>
    </row>
    <row r="18" spans="1:13">
      <c r="A18" s="27"/>
      <c r="B18" s="28"/>
      <c r="C18" s="24">
        <v>43313</v>
      </c>
      <c r="D18" s="23" t="s">
        <v>70</v>
      </c>
      <c r="E18" s="64" t="str">
        <f>IFERROR(IF(D18=計算シート!$B$7,"○",""),"")</f>
        <v/>
      </c>
      <c r="F18" s="23" t="s">
        <v>96</v>
      </c>
      <c r="G18" s="64" t="str">
        <f>IFERROR(IF(計算シート!$B$11&gt;15750,"○",""),"")</f>
        <v/>
      </c>
      <c r="H18" s="23" t="s">
        <v>105</v>
      </c>
      <c r="I18" s="64" t="str">
        <f t="shared" si="0"/>
        <v/>
      </c>
      <c r="J18" s="64">
        <v>7087</v>
      </c>
      <c r="K18" s="64" t="str">
        <f>IF(AND(計算シート!$E$3='計算式あて（再計算後）'!C18,E18="○",G18="○",I18="○"),"★","")</f>
        <v/>
      </c>
      <c r="L18" s="66" t="str">
        <f>IF(AND(計算シート!$E$5='計算式あて（再計算後）'!C18,E18="○",G18="○",I18="○"),"◆","")</f>
        <v/>
      </c>
      <c r="M18" s="23">
        <v>0.01</v>
      </c>
    </row>
    <row r="19" spans="1:13" ht="27">
      <c r="A19" s="25"/>
      <c r="B19" s="26" t="s">
        <v>299</v>
      </c>
      <c r="C19" s="24">
        <v>42948</v>
      </c>
      <c r="D19" s="23" t="s">
        <v>67</v>
      </c>
      <c r="E19" s="64" t="str">
        <f>IFERROR(IF(D19=計算シート!$B$7,"○",""),"")</f>
        <v/>
      </c>
      <c r="F19" s="23" t="s">
        <v>87</v>
      </c>
      <c r="G19" s="64" t="str">
        <f>IFERROR(IF(AND(計算シート!$B$11&gt;=2470,計算シート!$B$11&lt;4940),"○",""),"")</f>
        <v/>
      </c>
      <c r="H19" s="23" t="s">
        <v>80</v>
      </c>
      <c r="I19" s="64" t="str">
        <f>G19</f>
        <v/>
      </c>
      <c r="J19" s="64">
        <f>ROUNDDOWN(計算シート!$B$11*0.8,0)</f>
        <v>0</v>
      </c>
      <c r="K19" s="64" t="str">
        <f>IF(AND(計算シート!$E$3='計算式あて（再計算後）'!C19,E19="○",G19="○",I19="○"),"★","")</f>
        <v/>
      </c>
      <c r="L19" s="66" t="str">
        <f>IF(AND(計算シート!$E$5='計算式あて（再計算後）'!C19,E19="○",G19="○",I19="○"),"◆","")</f>
        <v/>
      </c>
      <c r="M19" s="23">
        <v>0.01</v>
      </c>
    </row>
    <row r="20" spans="1:13">
      <c r="A20" s="25"/>
      <c r="B20" s="25"/>
      <c r="C20" s="24">
        <v>42948</v>
      </c>
      <c r="D20" s="23" t="s">
        <v>67</v>
      </c>
      <c r="E20" s="64" t="str">
        <f>IFERROR(IF(D20=計算シート!$B$7,"○",""),"")</f>
        <v/>
      </c>
      <c r="F20" s="23" t="s">
        <v>452</v>
      </c>
      <c r="G20" s="64" t="str">
        <f>IFERROR(IF(AND(計算シート!$B$11&gt;=4940,計算シート!$B$11&lt;=12150),"○",""),"")</f>
        <v/>
      </c>
      <c r="H20" s="23" t="s">
        <v>100</v>
      </c>
      <c r="I20" s="64" t="str">
        <f t="shared" si="0"/>
        <v/>
      </c>
      <c r="J20" s="64">
        <f>ROUNDDOWN(0.8*計算シート!$B$11-0.3*((計算シート!$B$11-4940)/(12150-4940))*計算シート!$B$11,0)</f>
        <v>0</v>
      </c>
      <c r="K20" s="64" t="str">
        <f>IF(AND(計算シート!$E$3='計算式あて（再計算後）'!C20,E20="○",G20="○",I20="○"),"★","")</f>
        <v/>
      </c>
      <c r="L20" s="66" t="str">
        <f>IF(AND(計算シート!$E$5='計算式あて（再計算後）'!C20,E20="○",G20="○",I20="○"),"◆","")</f>
        <v/>
      </c>
      <c r="M20" s="23">
        <v>0.01</v>
      </c>
    </row>
    <row r="21" spans="1:13">
      <c r="A21" s="25"/>
      <c r="B21" s="25"/>
      <c r="C21" s="24">
        <v>42948</v>
      </c>
      <c r="D21" s="23" t="s">
        <v>67</v>
      </c>
      <c r="E21" s="64" t="str">
        <f>IFERROR(IF(D21=計算シート!$B$7,"○",""),"")</f>
        <v/>
      </c>
      <c r="F21" s="23" t="s">
        <v>453</v>
      </c>
      <c r="G21" s="64" t="str">
        <f>IFERROR(IF(AND(計算シート!$B$11&gt;12150,計算シート!$B$11&lt;=13430),"○",""),"")</f>
        <v/>
      </c>
      <c r="H21" s="23" t="s">
        <v>82</v>
      </c>
      <c r="I21" s="64" t="str">
        <f t="shared" si="0"/>
        <v/>
      </c>
      <c r="J21" s="64">
        <f>ROUNDDOWN(計算シート!$B$11*0.5,0)</f>
        <v>0</v>
      </c>
      <c r="K21" s="64" t="str">
        <f>IF(AND(計算シート!$E$3='計算式あて（再計算後）'!C21,E21="○",G21="○",I21="○"),"★","")</f>
        <v/>
      </c>
      <c r="L21" s="66" t="str">
        <f>IF(AND(計算シート!$E$5='計算式あて（再計算後）'!C21,E21="○",G21="○",I21="○"),"◆","")</f>
        <v/>
      </c>
      <c r="M21" s="23">
        <v>0.01</v>
      </c>
    </row>
    <row r="22" spans="1:13">
      <c r="A22" s="25"/>
      <c r="B22" s="25"/>
      <c r="C22" s="24">
        <v>42948</v>
      </c>
      <c r="D22" s="23" t="s">
        <v>67</v>
      </c>
      <c r="E22" s="64" t="str">
        <f>IFERROR(IF(D22=計算シート!$B$7,"○",""),"")</f>
        <v/>
      </c>
      <c r="F22" s="23" t="s">
        <v>88</v>
      </c>
      <c r="G22" s="64" t="str">
        <f>IFERROR(IF(計算シート!$B$11&gt;13430,"○",""),"")</f>
        <v/>
      </c>
      <c r="H22" s="23" t="s">
        <v>106</v>
      </c>
      <c r="I22" s="64" t="str">
        <f t="shared" si="0"/>
        <v/>
      </c>
      <c r="J22" s="64">
        <v>6715</v>
      </c>
      <c r="K22" s="64" t="str">
        <f>IF(AND(計算シート!$E$3='計算式あて（再計算後）'!C22,E22="○",G22="○",I22="○"),"★","")</f>
        <v/>
      </c>
      <c r="L22" s="66" t="str">
        <f>IF(AND(計算シート!$E$5='計算式あて（再計算後）'!C22,E22="○",G22="○",I22="○"),"◆","")</f>
        <v/>
      </c>
      <c r="M22" s="23">
        <v>0.01</v>
      </c>
    </row>
    <row r="23" spans="1:13">
      <c r="A23" s="25"/>
      <c r="B23" s="25"/>
      <c r="C23" s="24">
        <v>42948</v>
      </c>
      <c r="D23" s="23" t="s">
        <v>68</v>
      </c>
      <c r="E23" s="64" t="str">
        <f>IFERROR(IF(D23=計算シート!$B$7,"○",""),"")</f>
        <v/>
      </c>
      <c r="F23" s="23" t="s">
        <v>87</v>
      </c>
      <c r="G23" s="64" t="str">
        <f>IFERROR(IF(AND(計算シート!$B$11&gt;=2470,計算シート!$B$11&lt;4940),"○",""),"")</f>
        <v/>
      </c>
      <c r="H23" s="23" t="s">
        <v>80</v>
      </c>
      <c r="I23" s="64" t="str">
        <f t="shared" si="0"/>
        <v/>
      </c>
      <c r="J23" s="64">
        <f>ROUNDDOWN(計算シート!$B$11*0.8,0)</f>
        <v>0</v>
      </c>
      <c r="K23" s="64" t="str">
        <f>IF(AND(計算シート!$E$3='計算式あて（再計算後）'!C23,E23="○",G23="○",I23="○"),"★","")</f>
        <v/>
      </c>
      <c r="L23" s="66" t="str">
        <f>IF(AND(計算シート!$E$5='計算式あて（再計算後）'!C23,E23="○",G23="○",I23="○"),"◆","")</f>
        <v/>
      </c>
      <c r="M23" s="23">
        <v>0.01</v>
      </c>
    </row>
    <row r="24" spans="1:13">
      <c r="A24" s="25"/>
      <c r="B24" s="25"/>
      <c r="C24" s="24">
        <v>42948</v>
      </c>
      <c r="D24" s="23" t="s">
        <v>68</v>
      </c>
      <c r="E24" s="64" t="str">
        <f>IFERROR(IF(D24=計算シート!$B$7,"○",""),"")</f>
        <v/>
      </c>
      <c r="F24" s="23" t="s">
        <v>452</v>
      </c>
      <c r="G24" s="64" t="str">
        <f>IFERROR(IF(AND(計算シート!$B$11&gt;=4940,計算シート!$B$11&lt;=12150),"○",""),"")</f>
        <v/>
      </c>
      <c r="H24" s="23" t="s">
        <v>100</v>
      </c>
      <c r="I24" s="64" t="str">
        <f t="shared" si="0"/>
        <v/>
      </c>
      <c r="J24" s="64">
        <f>ROUNDDOWN(0.8*計算シート!$B$11-0.3*((計算シート!$B$11-4940)/(12150-4940))*計算シート!$B$11,0)</f>
        <v>0</v>
      </c>
      <c r="K24" s="64" t="str">
        <f>IF(AND(計算シート!$E$3='計算式あて（再計算後）'!C24,E24="○",G24="○",I24="○"),"★","")</f>
        <v/>
      </c>
      <c r="L24" s="66" t="str">
        <f>IF(AND(計算シート!$E$5='計算式あて（再計算後）'!C24,E24="○",G24="○",I24="○"),"◆","")</f>
        <v/>
      </c>
      <c r="M24" s="23">
        <v>0.01</v>
      </c>
    </row>
    <row r="25" spans="1:13">
      <c r="A25" s="25"/>
      <c r="B25" s="25"/>
      <c r="C25" s="24">
        <v>42948</v>
      </c>
      <c r="D25" s="23" t="s">
        <v>68</v>
      </c>
      <c r="E25" s="64" t="str">
        <f>IFERROR(IF(D25=計算シート!$B$7,"○",""),"")</f>
        <v/>
      </c>
      <c r="F25" s="23" t="s">
        <v>454</v>
      </c>
      <c r="G25" s="64" t="str">
        <f>IFERROR(IF(AND(計算シート!$B$11&gt;12150,計算シート!$B$11&lt;=14920),"○",""),"")</f>
        <v/>
      </c>
      <c r="H25" s="23" t="s">
        <v>82</v>
      </c>
      <c r="I25" s="64" t="str">
        <f t="shared" si="0"/>
        <v/>
      </c>
      <c r="J25" s="64">
        <f>ROUNDDOWN(計算シート!$B$11*0.5,0)</f>
        <v>0</v>
      </c>
      <c r="K25" s="64" t="str">
        <f>IF(AND(計算シート!$E$3='計算式あて（再計算後）'!C25,E25="○",G25="○",I25="○"),"★","")</f>
        <v/>
      </c>
      <c r="L25" s="66" t="str">
        <f>IF(AND(計算シート!$E$5='計算式あて（再計算後）'!C25,E25="○",G25="○",I25="○"),"◆","")</f>
        <v/>
      </c>
      <c r="M25" s="23">
        <v>0.01</v>
      </c>
    </row>
    <row r="26" spans="1:13">
      <c r="A26" s="25"/>
      <c r="B26" s="25"/>
      <c r="C26" s="24">
        <v>42948</v>
      </c>
      <c r="D26" s="23" t="s">
        <v>68</v>
      </c>
      <c r="E26" s="64" t="str">
        <f>IFERROR(IF(D26=計算シート!$B$7,"○",""),"")</f>
        <v/>
      </c>
      <c r="F26" s="23" t="s">
        <v>89</v>
      </c>
      <c r="G26" s="64" t="str">
        <f>IFERROR(IF(計算シート!$B$11&gt;14920,"○",""),"")</f>
        <v/>
      </c>
      <c r="H26" s="23" t="s">
        <v>107</v>
      </c>
      <c r="I26" s="64" t="str">
        <f t="shared" si="0"/>
        <v/>
      </c>
      <c r="J26" s="64">
        <v>7460</v>
      </c>
      <c r="K26" s="64" t="str">
        <f>IF(AND(計算シート!$E$3='計算式あて（再計算後）'!C26,E26="○",G26="○",I26="○"),"★","")</f>
        <v/>
      </c>
      <c r="L26" s="66" t="str">
        <f>IF(AND(計算シート!$E$5='計算式あて（再計算後）'!C26,E26="○",G26="○",I26="○"),"◆","")</f>
        <v/>
      </c>
      <c r="M26" s="23">
        <v>0.01</v>
      </c>
    </row>
    <row r="27" spans="1:13">
      <c r="A27" s="25"/>
      <c r="B27" s="25"/>
      <c r="C27" s="24">
        <v>42948</v>
      </c>
      <c r="D27" s="23" t="s">
        <v>69</v>
      </c>
      <c r="E27" s="64" t="str">
        <f>IFERROR(IF(D27=計算シート!$B$7,"○",""),"")</f>
        <v/>
      </c>
      <c r="F27" s="23" t="s">
        <v>87</v>
      </c>
      <c r="G27" s="64" t="str">
        <f>IFERROR(IF(AND(計算シート!$B$11&gt;=2470,計算シート!$B$11&lt;4940),"○",""),"")</f>
        <v/>
      </c>
      <c r="H27" s="23" t="s">
        <v>80</v>
      </c>
      <c r="I27" s="64" t="str">
        <f t="shared" si="0"/>
        <v/>
      </c>
      <c r="J27" s="64">
        <f>ROUNDDOWN(計算シート!$B$11*0.8,0)</f>
        <v>0</v>
      </c>
      <c r="K27" s="64" t="str">
        <f>IF(AND(計算シート!$E$3='計算式あて（再計算後）'!C27,E27="○",G27="○",I27="○"),"★","")</f>
        <v/>
      </c>
      <c r="L27" s="66" t="str">
        <f>IF(AND(計算シート!$E$5='計算式あて（再計算後）'!C27,E27="○",G27="○",I27="○"),"◆","")</f>
        <v/>
      </c>
      <c r="M27" s="23">
        <v>0.01</v>
      </c>
    </row>
    <row r="28" spans="1:13">
      <c r="A28" s="25"/>
      <c r="B28" s="25"/>
      <c r="C28" s="24">
        <v>42948</v>
      </c>
      <c r="D28" s="23" t="s">
        <v>69</v>
      </c>
      <c r="E28" s="64" t="str">
        <f>IFERROR(IF(D28=計算シート!$B$7,"○",""),"")</f>
        <v/>
      </c>
      <c r="F28" s="23" t="s">
        <v>452</v>
      </c>
      <c r="G28" s="64" t="str">
        <f>IFERROR(IF(AND(計算シート!$B$11&gt;=4940,計算シート!$B$11&lt;=12150),"○",""),"")</f>
        <v/>
      </c>
      <c r="H28" s="23" t="s">
        <v>100</v>
      </c>
      <c r="I28" s="64" t="str">
        <f t="shared" si="0"/>
        <v/>
      </c>
      <c r="J28" s="64">
        <f>ROUNDDOWN(0.8*計算シート!$B$11-0.3*((計算シート!$B$11-4940)/(12150-4940))*計算シート!$B$11,0)</f>
        <v>0</v>
      </c>
      <c r="K28" s="64" t="str">
        <f>IF(AND(計算シート!$E$3='計算式あて（再計算後）'!C28,E28="○",G28="○",I28="○"),"★","")</f>
        <v/>
      </c>
      <c r="L28" s="66" t="str">
        <f>IF(AND(計算シート!$E$5='計算式あて（再計算後）'!C28,E28="○",G28="○",I28="○"),"◆","")</f>
        <v/>
      </c>
      <c r="M28" s="23">
        <v>0.01</v>
      </c>
    </row>
    <row r="29" spans="1:13">
      <c r="A29" s="25"/>
      <c r="B29" s="25"/>
      <c r="C29" s="24">
        <v>42948</v>
      </c>
      <c r="D29" s="23" t="s">
        <v>69</v>
      </c>
      <c r="E29" s="64" t="str">
        <f>IFERROR(IF(D29=計算シート!$B$7,"○",""),"")</f>
        <v/>
      </c>
      <c r="F29" s="23" t="s">
        <v>455</v>
      </c>
      <c r="G29" s="64" t="str">
        <f>IFERROR(IF(AND(計算シート!$B$11&gt;12150,計算シート!$B$11&lt;=16420),"○",""),"")</f>
        <v/>
      </c>
      <c r="H29" s="23" t="s">
        <v>82</v>
      </c>
      <c r="I29" s="64" t="str">
        <f t="shared" si="0"/>
        <v/>
      </c>
      <c r="J29" s="64">
        <f>ROUNDDOWN(計算シート!$B$11*0.5,0)</f>
        <v>0</v>
      </c>
      <c r="K29" s="64" t="str">
        <f>IF(AND(計算シート!$E$3='計算式あて（再計算後）'!C29,E29="○",G29="○",I29="○"),"★","")</f>
        <v/>
      </c>
      <c r="L29" s="66" t="str">
        <f>IF(AND(計算シート!$E$5='計算式あて（再計算後）'!C29,E29="○",G29="○",I29="○"),"◆","")</f>
        <v/>
      </c>
      <c r="M29" s="23">
        <v>0.01</v>
      </c>
    </row>
    <row r="30" spans="1:13">
      <c r="A30" s="25"/>
      <c r="B30" s="25"/>
      <c r="C30" s="24">
        <v>42948</v>
      </c>
      <c r="D30" s="23" t="s">
        <v>69</v>
      </c>
      <c r="E30" s="64" t="str">
        <f>IFERROR(IF(D30=計算シート!$B$7,"○",""),"")</f>
        <v/>
      </c>
      <c r="F30" s="23" t="s">
        <v>97</v>
      </c>
      <c r="G30" s="64" t="str">
        <f>IFERROR(IF(計算シート!$B$11&gt;16420,"○",""),"")</f>
        <v/>
      </c>
      <c r="H30" s="23" t="s">
        <v>108</v>
      </c>
      <c r="I30" s="64" t="str">
        <f t="shared" si="0"/>
        <v/>
      </c>
      <c r="J30" s="64">
        <v>8210</v>
      </c>
      <c r="K30" s="64" t="str">
        <f>IF(AND(計算シート!$E$3='計算式あて（再計算後）'!C30,E30="○",G30="○",I30="○"),"★","")</f>
        <v/>
      </c>
      <c r="L30" s="66" t="str">
        <f>IF(AND(計算シート!$E$5='計算式あて（再計算後）'!C30,E30="○",G30="○",I30="○"),"◆","")</f>
        <v/>
      </c>
      <c r="M30" s="23">
        <v>0.01</v>
      </c>
    </row>
    <row r="31" spans="1:13">
      <c r="A31" s="25"/>
      <c r="B31" s="25"/>
      <c r="C31" s="24">
        <v>42948</v>
      </c>
      <c r="D31" s="23" t="s">
        <v>70</v>
      </c>
      <c r="E31" s="64" t="str">
        <f>IFERROR(IF(D31=計算シート!$B$7,"○",""),"")</f>
        <v/>
      </c>
      <c r="F31" s="23" t="s">
        <v>87</v>
      </c>
      <c r="G31" s="64" t="str">
        <f>IFERROR(IF(AND(計算シート!$B$11&gt;=2470,計算シート!$B$11&lt;4940),"○",""),"")</f>
        <v/>
      </c>
      <c r="H31" s="23" t="s">
        <v>80</v>
      </c>
      <c r="I31" s="64" t="str">
        <f t="shared" si="0"/>
        <v/>
      </c>
      <c r="J31" s="64">
        <f>ROUNDDOWN(計算シート!$B$11*0.8,0)</f>
        <v>0</v>
      </c>
      <c r="K31" s="64" t="str">
        <f>IF(AND(計算シート!$E$3='計算式あて（再計算後）'!C31,E31="○",G31="○",I31="○"),"★","")</f>
        <v/>
      </c>
      <c r="L31" s="66" t="str">
        <f>IF(AND(計算シート!$E$5='計算式あて（再計算後）'!C31,E31="○",G31="○",I31="○"),"◆","")</f>
        <v/>
      </c>
      <c r="M31" s="23">
        <v>0.01</v>
      </c>
    </row>
    <row r="32" spans="1:13">
      <c r="A32" s="25"/>
      <c r="B32" s="25"/>
      <c r="C32" s="24">
        <v>42948</v>
      </c>
      <c r="D32" s="23" t="s">
        <v>70</v>
      </c>
      <c r="E32" s="64" t="str">
        <f>IFERROR(IF(D32=計算シート!$B$7,"○",""),"")</f>
        <v/>
      </c>
      <c r="F32" s="23" t="s">
        <v>456</v>
      </c>
      <c r="G32" s="64" t="str">
        <f>IFERROR(IF(AND(計算シート!$B$11&gt;=4940,計算シート!$B$11&lt;=10930),"○",""),"")</f>
        <v/>
      </c>
      <c r="H32" s="23" t="s">
        <v>101</v>
      </c>
      <c r="I32" s="64" t="str">
        <f>IFERROR(IF(J32&lt;J33,"○",""),"")</f>
        <v>○</v>
      </c>
      <c r="J32" s="64">
        <f>ROUNDDOWN(0.8*計算シート!$B$11-0.35*((計算シート!$B$11-4940)/(10930-4940))*計算シート!$B$11,0)</f>
        <v>0</v>
      </c>
      <c r="K32" s="64" t="str">
        <f>IF(AND(計算シート!$E$3='計算式あて（再計算後）'!C32,E32="○",G32="○",I32="○"),"★","")</f>
        <v/>
      </c>
      <c r="L32" s="66" t="str">
        <f>IF(AND(計算シート!$E$5='計算式あて（再計算後）'!C32,E32="○",G32="○",I32="○"),"◆","")</f>
        <v/>
      </c>
      <c r="M32" s="23">
        <v>0.01</v>
      </c>
    </row>
    <row r="33" spans="1:13">
      <c r="A33" s="25"/>
      <c r="B33" s="25"/>
      <c r="C33" s="24">
        <v>42948</v>
      </c>
      <c r="D33" s="23" t="s">
        <v>70</v>
      </c>
      <c r="E33" s="64" t="str">
        <f>IFERROR(IF(D33=計算シート!$B$7,"○",""),"")</f>
        <v/>
      </c>
      <c r="F33" s="23" t="s">
        <v>456</v>
      </c>
      <c r="G33" s="64" t="str">
        <f>IFERROR(IF(AND(計算シート!$B$11&gt;=4940,計算シート!$B$11&lt;=10930),"○",""),"")</f>
        <v/>
      </c>
      <c r="H33" s="23" t="s">
        <v>606</v>
      </c>
      <c r="I33" s="64" t="str">
        <f>IFERROR(IF(J33&lt;J32,"○",""),"")</f>
        <v/>
      </c>
      <c r="J33" s="64">
        <f>ROUNDDOWN(計算シート!$B$11*0.05+(10930*0.4),0)</f>
        <v>4372</v>
      </c>
      <c r="K33" s="64" t="str">
        <f>IF(AND(計算シート!$E$3='計算式あて（再計算後）'!C33,E33="○",G33="○",I33="○"),"★","")</f>
        <v/>
      </c>
      <c r="L33" s="66" t="str">
        <f>IF(AND(計算シート!$E$5='計算式あて（再計算後）'!C33,E33="○",G33="○",I33="○"),"◆","")</f>
        <v/>
      </c>
      <c r="M33" s="23">
        <v>0.01</v>
      </c>
    </row>
    <row r="34" spans="1:13">
      <c r="A34" s="25"/>
      <c r="B34" s="25"/>
      <c r="C34" s="24">
        <v>42948</v>
      </c>
      <c r="D34" s="23" t="s">
        <v>70</v>
      </c>
      <c r="E34" s="64" t="str">
        <f>IFERROR(IF(D34=計算シート!$B$7,"○",""),"")</f>
        <v/>
      </c>
      <c r="F34" s="23" t="s">
        <v>98</v>
      </c>
      <c r="G34" s="64" t="str">
        <f>IFERROR(IF(AND(計算シート!$B$11&gt;10930,計算シート!$B$11&lt;=15660),"○",""),"")</f>
        <v/>
      </c>
      <c r="H34" s="23" t="s">
        <v>84</v>
      </c>
      <c r="I34" s="64" t="str">
        <f t="shared" si="0"/>
        <v/>
      </c>
      <c r="J34" s="64">
        <f>ROUNDDOWN(計算シート!$B$11*0.45,0)</f>
        <v>0</v>
      </c>
      <c r="K34" s="64" t="str">
        <f>IF(AND(計算シート!$E$3='計算式あて（再計算後）'!C34,E34="○",G34="○",I34="○"),"★","")</f>
        <v/>
      </c>
      <c r="L34" s="66" t="str">
        <f>IF(AND(計算シート!$E$5='計算式あて（再計算後）'!C34,E34="○",G34="○",I34="○"),"◆","")</f>
        <v/>
      </c>
      <c r="M34" s="23">
        <v>0.01</v>
      </c>
    </row>
    <row r="35" spans="1:13">
      <c r="A35" s="27"/>
      <c r="B35" s="28"/>
      <c r="C35" s="24">
        <v>42948</v>
      </c>
      <c r="D35" s="23" t="s">
        <v>70</v>
      </c>
      <c r="E35" s="64" t="str">
        <f>IFERROR(IF(D35=計算シート!$B$7,"○",""),"")</f>
        <v/>
      </c>
      <c r="F35" s="23" t="s">
        <v>99</v>
      </c>
      <c r="G35" s="64" t="str">
        <f>IFERROR(IF(計算シート!$B$11&gt;15660,"○",""),"")</f>
        <v/>
      </c>
      <c r="H35" s="23" t="s">
        <v>109</v>
      </c>
      <c r="I35" s="64" t="str">
        <f t="shared" si="0"/>
        <v/>
      </c>
      <c r="J35" s="64">
        <v>7047</v>
      </c>
      <c r="K35" s="64" t="str">
        <f>IF(AND(計算シート!$E$3='計算式あて（再計算後）'!C35,E35="○",G35="○",I35="○"),"★","")</f>
        <v/>
      </c>
      <c r="L35" s="66" t="str">
        <f>IF(AND(計算シート!$E$5='計算式あて（再計算後）'!C35,E35="○",G35="○",I35="○"),"◆","")</f>
        <v/>
      </c>
      <c r="M35" s="23">
        <v>0.01</v>
      </c>
    </row>
    <row r="36" spans="1:13" ht="27">
      <c r="A36" s="25"/>
      <c r="B36" s="26" t="s">
        <v>300</v>
      </c>
      <c r="C36" s="24">
        <v>42583</v>
      </c>
      <c r="D36" s="23" t="s">
        <v>67</v>
      </c>
      <c r="E36" s="64" t="str">
        <f>IFERROR(IF(D36=計算シート!$B$7,"○",""),"")</f>
        <v/>
      </c>
      <c r="F36" s="23" t="s">
        <v>116</v>
      </c>
      <c r="G36" s="64" t="str">
        <f>IFERROR(IF(AND(計算シート!$B$11&gt;=2300,計算シート!$B$11&lt;4590),"○",""),"")</f>
        <v/>
      </c>
      <c r="H36" s="23" t="s">
        <v>80</v>
      </c>
      <c r="I36" s="64" t="str">
        <f>G36</f>
        <v/>
      </c>
      <c r="J36" s="64">
        <f>ROUNDDOWN(計算シート!$B$11*0.8,0)</f>
        <v>0</v>
      </c>
      <c r="K36" s="64" t="str">
        <f>IF(AND(計算シート!$E$3='計算式あて（再計算後）'!C36,E36="○",G36="○",I36="○"),"★","")</f>
        <v/>
      </c>
      <c r="L36" s="66" t="str">
        <f>IF(AND(計算シート!$E$5='計算式あて（再計算後）'!C36,E36="○",G36="○",I36="○"),"◆","")</f>
        <v/>
      </c>
      <c r="M36" s="23">
        <v>0.01</v>
      </c>
    </row>
    <row r="37" spans="1:13">
      <c r="A37" s="25"/>
      <c r="B37" s="25"/>
      <c r="C37" s="24">
        <v>42583</v>
      </c>
      <c r="D37" s="23" t="s">
        <v>67</v>
      </c>
      <c r="E37" s="64" t="str">
        <f>IFERROR(IF(D37=計算シート!$B$7,"○",""),"")</f>
        <v/>
      </c>
      <c r="F37" s="23" t="s">
        <v>457</v>
      </c>
      <c r="G37" s="64" t="str">
        <f>IFERROR(IF(AND(計算シート!$B$11&gt;=4590,計算シート!$B$11&lt;=11640),"○",""),"")</f>
        <v/>
      </c>
      <c r="H37" s="23" t="s">
        <v>110</v>
      </c>
      <c r="I37" s="64" t="str">
        <f t="shared" ref="I37:I48" si="1">G37</f>
        <v/>
      </c>
      <c r="J37" s="64">
        <f>ROUNDDOWN(0.8*計算シート!$B$11-0.3*((計算シート!$B$11-4590)/(11640-4590))*計算シート!$B$11,0)</f>
        <v>0</v>
      </c>
      <c r="K37" s="64" t="str">
        <f>IF(AND(計算シート!$E$3='計算式あて（再計算後）'!C37,E37="○",G37="○",I37="○"),"★","")</f>
        <v/>
      </c>
      <c r="L37" s="66" t="str">
        <f>IF(AND(計算シート!$E$5='計算式あて（再計算後）'!C37,E37="○",G37="○",I37="○"),"◆","")</f>
        <v/>
      </c>
      <c r="M37" s="23">
        <v>0.01</v>
      </c>
    </row>
    <row r="38" spans="1:13">
      <c r="A38" s="25"/>
      <c r="B38" s="25"/>
      <c r="C38" s="24">
        <v>42583</v>
      </c>
      <c r="D38" s="23" t="s">
        <v>67</v>
      </c>
      <c r="E38" s="64" t="str">
        <f>IFERROR(IF(D38=計算シート!$B$7,"○",""),"")</f>
        <v/>
      </c>
      <c r="F38" s="23" t="s">
        <v>458</v>
      </c>
      <c r="G38" s="64" t="str">
        <f>IFERROR(IF(AND(計算シート!$B$11&gt;11640,計算シート!$B$11&lt;=12760),"○",""),"")</f>
        <v/>
      </c>
      <c r="H38" s="23" t="s">
        <v>82</v>
      </c>
      <c r="I38" s="64" t="str">
        <f t="shared" si="1"/>
        <v/>
      </c>
      <c r="J38" s="64">
        <f>ROUNDDOWN(計算シート!$B$11*0.5,0)</f>
        <v>0</v>
      </c>
      <c r="K38" s="64" t="str">
        <f>IF(AND(計算シート!$E$3='計算式あて（再計算後）'!C38,E38="○",G38="○",I38="○"),"★","")</f>
        <v/>
      </c>
      <c r="L38" s="66" t="str">
        <f>IF(AND(計算シート!$E$5='計算式あて（再計算後）'!C38,E38="○",G38="○",I38="○"),"◆","")</f>
        <v/>
      </c>
      <c r="M38" s="23">
        <v>0.01</v>
      </c>
    </row>
    <row r="39" spans="1:13">
      <c r="A39" s="25"/>
      <c r="B39" s="25"/>
      <c r="C39" s="24">
        <v>42583</v>
      </c>
      <c r="D39" s="23" t="s">
        <v>67</v>
      </c>
      <c r="E39" s="64" t="str">
        <f>IFERROR(IF(D39=計算シート!$B$7,"○",""),"")</f>
        <v/>
      </c>
      <c r="F39" s="23" t="s">
        <v>120</v>
      </c>
      <c r="G39" s="64" t="str">
        <f>IFERROR(IF(計算シート!$B$11&gt;12760,"○",""),"")</f>
        <v/>
      </c>
      <c r="H39" s="23" t="s">
        <v>114</v>
      </c>
      <c r="I39" s="64" t="str">
        <f t="shared" si="1"/>
        <v/>
      </c>
      <c r="J39" s="64">
        <v>6380</v>
      </c>
      <c r="K39" s="64" t="str">
        <f>IF(AND(計算シート!$E$3='計算式あて（再計算後）'!C39,E39="○",G39="○",I39="○"),"★","")</f>
        <v/>
      </c>
      <c r="L39" s="66" t="str">
        <f>IF(AND(計算シート!$E$5='計算式あて（再計算後）'!C39,E39="○",G39="○",I39="○"),"◆","")</f>
        <v/>
      </c>
      <c r="M39" s="23">
        <v>0.01</v>
      </c>
    </row>
    <row r="40" spans="1:13">
      <c r="A40" s="25"/>
      <c r="B40" s="25"/>
      <c r="C40" s="24">
        <v>42583</v>
      </c>
      <c r="D40" s="23" t="s">
        <v>68</v>
      </c>
      <c r="E40" s="64" t="str">
        <f>IFERROR(IF(D40=計算シート!$B$7,"○",""),"")</f>
        <v/>
      </c>
      <c r="F40" s="23" t="s">
        <v>116</v>
      </c>
      <c r="G40" s="64" t="str">
        <f>IFERROR(IF(AND(計算シート!$B$11&gt;=2300,計算シート!$B$11&lt;4590),"○",""),"")</f>
        <v/>
      </c>
      <c r="H40" s="23" t="s">
        <v>80</v>
      </c>
      <c r="I40" s="64" t="str">
        <f t="shared" si="1"/>
        <v/>
      </c>
      <c r="J40" s="64">
        <f>ROUNDDOWN(計算シート!$B$11*0.8,0)</f>
        <v>0</v>
      </c>
      <c r="K40" s="64" t="str">
        <f>IF(AND(計算シート!$E$3='計算式あて（再計算後）'!C40,E40="○",G40="○",I40="○"),"★","")</f>
        <v/>
      </c>
      <c r="L40" s="66" t="str">
        <f>IF(AND(計算シート!$E$5='計算式あて（再計算後）'!C40,E40="○",G40="○",I40="○"),"◆","")</f>
        <v/>
      </c>
      <c r="M40" s="23">
        <v>0.01</v>
      </c>
    </row>
    <row r="41" spans="1:13">
      <c r="A41" s="25"/>
      <c r="B41" s="25"/>
      <c r="C41" s="24">
        <v>42583</v>
      </c>
      <c r="D41" s="23" t="s">
        <v>68</v>
      </c>
      <c r="E41" s="64" t="str">
        <f>IFERROR(IF(D41=計算シート!$B$7,"○",""),"")</f>
        <v/>
      </c>
      <c r="F41" s="23" t="s">
        <v>457</v>
      </c>
      <c r="G41" s="64" t="str">
        <f>IFERROR(IF(AND(計算シート!$B$11&gt;=4590,計算シート!$B$11&lt;=11640),"○",""),"")</f>
        <v/>
      </c>
      <c r="H41" s="23" t="s">
        <v>110</v>
      </c>
      <c r="I41" s="64" t="str">
        <f t="shared" si="1"/>
        <v/>
      </c>
      <c r="J41" s="64">
        <f>ROUNDDOWN(0.8*計算シート!$B$11-0.3*((計算シート!$B$11-4590)/(11640-4590))*計算シート!$B$11,0)</f>
        <v>0</v>
      </c>
      <c r="K41" s="64" t="str">
        <f>IF(AND(計算シート!$E$3='計算式あて（再計算後）'!C41,E41="○",G41="○",I41="○"),"★","")</f>
        <v/>
      </c>
      <c r="L41" s="66" t="str">
        <f>IF(AND(計算シート!$E$5='計算式あて（再計算後）'!C41,E41="○",G41="○",I41="○"),"◆","")</f>
        <v/>
      </c>
      <c r="M41" s="23">
        <v>0.01</v>
      </c>
    </row>
    <row r="42" spans="1:13">
      <c r="A42" s="25"/>
      <c r="B42" s="25"/>
      <c r="C42" s="24">
        <v>42583</v>
      </c>
      <c r="D42" s="23" t="s">
        <v>68</v>
      </c>
      <c r="E42" s="64" t="str">
        <f>IFERROR(IF(D42=計算シート!$B$7,"○",""),"")</f>
        <v/>
      </c>
      <c r="F42" s="23" t="s">
        <v>459</v>
      </c>
      <c r="G42" s="64" t="str">
        <f>IFERROR(IF(AND(計算シート!$B$11&gt;11640,計算シート!$B$11&lt;=14160),"○",""),"")</f>
        <v/>
      </c>
      <c r="H42" s="23" t="s">
        <v>82</v>
      </c>
      <c r="I42" s="64" t="str">
        <f t="shared" si="1"/>
        <v/>
      </c>
      <c r="J42" s="64">
        <f>ROUNDDOWN(計算シート!$B$11*0.5,0)</f>
        <v>0</v>
      </c>
      <c r="K42" s="64" t="str">
        <f>IF(AND(計算シート!$E$3='計算式あて（再計算後）'!C42,E42="○",G42="○",I42="○"),"★","")</f>
        <v/>
      </c>
      <c r="L42" s="66" t="str">
        <f>IF(AND(計算シート!$E$5='計算式あて（再計算後）'!C42,E42="○",G42="○",I42="○"),"◆","")</f>
        <v/>
      </c>
      <c r="M42" s="23">
        <v>0.01</v>
      </c>
    </row>
    <row r="43" spans="1:13">
      <c r="A43" s="25"/>
      <c r="B43" s="25"/>
      <c r="C43" s="24">
        <v>42583</v>
      </c>
      <c r="D43" s="23" t="s">
        <v>68</v>
      </c>
      <c r="E43" s="64" t="str">
        <f>IFERROR(IF(D43=計算シート!$B$7,"○",""),"")</f>
        <v/>
      </c>
      <c r="F43" s="23" t="s">
        <v>117</v>
      </c>
      <c r="G43" s="64" t="str">
        <f>IFERROR(IF(計算シート!$B$11&gt;14160,"○",""),"")</f>
        <v/>
      </c>
      <c r="H43" s="23" t="s">
        <v>111</v>
      </c>
      <c r="I43" s="64" t="str">
        <f t="shared" si="1"/>
        <v/>
      </c>
      <c r="J43" s="64">
        <v>7080</v>
      </c>
      <c r="K43" s="64" t="str">
        <f>IF(AND(計算シート!$E$3='計算式あて（再計算後）'!C43,E43="○",G43="○",I43="○"),"★","")</f>
        <v/>
      </c>
      <c r="L43" s="66" t="str">
        <f>IF(AND(計算シート!$E$5='計算式あて（再計算後）'!C43,E43="○",G43="○",I43="○"),"◆","")</f>
        <v/>
      </c>
      <c r="M43" s="23">
        <v>0.01</v>
      </c>
    </row>
    <row r="44" spans="1:13">
      <c r="A44" s="25"/>
      <c r="B44" s="25"/>
      <c r="C44" s="24">
        <v>42583</v>
      </c>
      <c r="D44" s="23" t="s">
        <v>69</v>
      </c>
      <c r="E44" s="64" t="str">
        <f>IFERROR(IF(D44=計算シート!$B$7,"○",""),"")</f>
        <v/>
      </c>
      <c r="F44" s="23" t="s">
        <v>116</v>
      </c>
      <c r="G44" s="64" t="str">
        <f>IFERROR(IF(AND(計算シート!$B$11&gt;=2300,計算シート!$B$11&lt;4590),"○",""),"")</f>
        <v/>
      </c>
      <c r="H44" s="23" t="s">
        <v>80</v>
      </c>
      <c r="I44" s="64" t="str">
        <f t="shared" si="1"/>
        <v/>
      </c>
      <c r="J44" s="64">
        <f>ROUNDDOWN(計算シート!$B$11*0.8,0)</f>
        <v>0</v>
      </c>
      <c r="K44" s="64" t="str">
        <f>IF(AND(計算シート!$E$3='計算式あて（再計算後）'!C44,E44="○",G44="○",I44="○"),"★","")</f>
        <v/>
      </c>
      <c r="L44" s="66" t="str">
        <f>IF(AND(計算シート!$E$5='計算式あて（再計算後）'!C44,E44="○",G44="○",I44="○"),"◆","")</f>
        <v/>
      </c>
      <c r="M44" s="23">
        <v>0.01</v>
      </c>
    </row>
    <row r="45" spans="1:13">
      <c r="A45" s="25"/>
      <c r="B45" s="25"/>
      <c r="C45" s="24">
        <v>42583</v>
      </c>
      <c r="D45" s="23" t="s">
        <v>69</v>
      </c>
      <c r="E45" s="64" t="str">
        <f>IFERROR(IF(D45=計算シート!$B$7,"○",""),"")</f>
        <v/>
      </c>
      <c r="F45" s="23" t="s">
        <v>457</v>
      </c>
      <c r="G45" s="64" t="str">
        <f>IFERROR(IF(AND(計算シート!$B$11&gt;=4590,計算シート!$B$11&lt;=11640),"○",""),"")</f>
        <v/>
      </c>
      <c r="H45" s="23" t="s">
        <v>110</v>
      </c>
      <c r="I45" s="64" t="str">
        <f t="shared" si="1"/>
        <v/>
      </c>
      <c r="J45" s="64">
        <f>ROUNDDOWN(0.8*計算シート!$B$11-0.3*((計算シート!$B$11-4590)/(11640-4590))*計算シート!$B$11,0)</f>
        <v>0</v>
      </c>
      <c r="K45" s="64" t="str">
        <f>IF(AND(計算シート!$E$3='計算式あて（再計算後）'!C45,E45="○",G45="○",I45="○"),"★","")</f>
        <v/>
      </c>
      <c r="L45" s="66" t="str">
        <f>IF(AND(計算シート!$E$5='計算式あて（再計算後）'!C45,E45="○",G45="○",I45="○"),"◆","")</f>
        <v/>
      </c>
      <c r="M45" s="23">
        <v>0.01</v>
      </c>
    </row>
    <row r="46" spans="1:13">
      <c r="A46" s="25"/>
      <c r="B46" s="25"/>
      <c r="C46" s="24">
        <v>42583</v>
      </c>
      <c r="D46" s="23" t="s">
        <v>69</v>
      </c>
      <c r="E46" s="64" t="str">
        <f>IFERROR(IF(D46=計算シート!$B$7,"○",""),"")</f>
        <v/>
      </c>
      <c r="F46" s="23" t="s">
        <v>460</v>
      </c>
      <c r="G46" s="64" t="str">
        <f>IFERROR(IF(AND(計算シート!$B$11&gt;11640,計算シート!$B$11&lt;=15570),"○",""),"")</f>
        <v/>
      </c>
      <c r="H46" s="23" t="s">
        <v>82</v>
      </c>
      <c r="I46" s="64" t="str">
        <f t="shared" si="1"/>
        <v/>
      </c>
      <c r="J46" s="64">
        <f>ROUNDDOWN(計算シート!$B$11*0.5,0)</f>
        <v>0</v>
      </c>
      <c r="K46" s="64" t="str">
        <f>IF(AND(計算シート!$E$3='計算式あて（再計算後）'!C46,E46="○",G46="○",I46="○"),"★","")</f>
        <v/>
      </c>
      <c r="L46" s="66" t="str">
        <f>IF(AND(計算シート!$E$5='計算式あて（再計算後）'!C46,E46="○",G46="○",I46="○"),"◆","")</f>
        <v/>
      </c>
      <c r="M46" s="23">
        <v>0.01</v>
      </c>
    </row>
    <row r="47" spans="1:13">
      <c r="A47" s="25"/>
      <c r="B47" s="25"/>
      <c r="C47" s="24">
        <v>42583</v>
      </c>
      <c r="D47" s="23" t="s">
        <v>69</v>
      </c>
      <c r="E47" s="64" t="str">
        <f>IFERROR(IF(D47=計算シート!$B$7,"○",""),"")</f>
        <v/>
      </c>
      <c r="F47" s="23" t="s">
        <v>118</v>
      </c>
      <c r="G47" s="64" t="str">
        <f>IFERROR(IF(計算シート!$B$11&gt;15570,"○",""),"")</f>
        <v/>
      </c>
      <c r="H47" s="23" t="s">
        <v>112</v>
      </c>
      <c r="I47" s="64" t="str">
        <f t="shared" si="1"/>
        <v/>
      </c>
      <c r="J47" s="64">
        <v>7785</v>
      </c>
      <c r="K47" s="64" t="str">
        <f>IF(AND(計算シート!$E$3='計算式あて（再計算後）'!C47,E47="○",G47="○",I47="○"),"★","")</f>
        <v/>
      </c>
      <c r="L47" s="66" t="str">
        <f>IF(AND(計算シート!$E$5='計算式あて（再計算後）'!C47,E47="○",G47="○",I47="○"),"◆","")</f>
        <v/>
      </c>
      <c r="M47" s="23">
        <v>0.01</v>
      </c>
    </row>
    <row r="48" spans="1:13">
      <c r="A48" s="25"/>
      <c r="B48" s="25"/>
      <c r="C48" s="24">
        <v>42583</v>
      </c>
      <c r="D48" s="23" t="s">
        <v>70</v>
      </c>
      <c r="E48" s="64" t="str">
        <f>IFERROR(IF(D48=計算シート!$B$7,"○",""),"")</f>
        <v/>
      </c>
      <c r="F48" s="23" t="s">
        <v>116</v>
      </c>
      <c r="G48" s="64" t="str">
        <f>IFERROR(IF(AND(計算シート!$B$11&gt;=2300,計算シート!$B$11&lt;4590),"○",""),"")</f>
        <v/>
      </c>
      <c r="H48" s="23" t="s">
        <v>80</v>
      </c>
      <c r="I48" s="64" t="str">
        <f t="shared" si="1"/>
        <v/>
      </c>
      <c r="J48" s="64">
        <f>ROUNDDOWN(計算シート!$B$11*0.8,0)</f>
        <v>0</v>
      </c>
      <c r="K48" s="64" t="str">
        <f>IF(AND(計算シート!$E$3='計算式あて（再計算後）'!C48,E48="○",G48="○",I48="○"),"★","")</f>
        <v/>
      </c>
      <c r="L48" s="66" t="str">
        <f>IF(AND(計算シート!$E$5='計算式あて（再計算後）'!C48,E48="○",G48="○",I48="○"),"◆","")</f>
        <v/>
      </c>
      <c r="M48" s="23">
        <v>0.01</v>
      </c>
    </row>
    <row r="49" spans="1:13">
      <c r="A49" s="25"/>
      <c r="B49" s="25"/>
      <c r="C49" s="24">
        <v>42583</v>
      </c>
      <c r="D49" s="23" t="s">
        <v>70</v>
      </c>
      <c r="E49" s="64" t="str">
        <f>IFERROR(IF(D49=計算シート!$B$7,"○",""),"")</f>
        <v/>
      </c>
      <c r="F49" s="23" t="s">
        <v>461</v>
      </c>
      <c r="G49" s="64" t="str">
        <f>IFERROR(IF(AND(計算シート!$B$11&gt;=4590,計算シート!$B$11&lt;=10470),"○",""),"")</f>
        <v/>
      </c>
      <c r="H49" s="23" t="s">
        <v>115</v>
      </c>
      <c r="I49" s="64" t="str">
        <f>IFERROR(IF(J49&lt;J50,"○",""),"")</f>
        <v>○</v>
      </c>
      <c r="J49" s="64">
        <f>ROUNDDOWN(0.8*計算シート!$B$11-0.35*((計算シート!$B$11-4590)/(10470-4590))*計算シート!$B$11,0)</f>
        <v>0</v>
      </c>
      <c r="K49" s="64" t="str">
        <f>IF(AND(計算シート!$E$3='計算式あて（再計算後）'!C49,E49="○",G49="○",I49="○"),"★","")</f>
        <v/>
      </c>
      <c r="L49" s="66" t="str">
        <f>IF(AND(計算シート!$E$5='計算式あて（再計算後）'!C49,E49="○",G49="○",I49="○"),"◆","")</f>
        <v/>
      </c>
      <c r="M49" s="23">
        <v>0.01</v>
      </c>
    </row>
    <row r="50" spans="1:13">
      <c r="A50" s="25"/>
      <c r="B50" s="25"/>
      <c r="C50" s="24">
        <v>42583</v>
      </c>
      <c r="D50" s="23" t="s">
        <v>70</v>
      </c>
      <c r="E50" s="64" t="str">
        <f>IFERROR(IF(D50=計算シート!$B$7,"○",""),"")</f>
        <v/>
      </c>
      <c r="F50" s="23" t="s">
        <v>461</v>
      </c>
      <c r="G50" s="64" t="str">
        <f>IFERROR(IF(AND(計算シート!$B$11&gt;=4590,計算シート!$B$11&lt;=10470),"○",""),"")</f>
        <v/>
      </c>
      <c r="H50" s="23" t="s">
        <v>121</v>
      </c>
      <c r="I50" s="64" t="str">
        <f>IFERROR(IF(J50&lt;J49,"○",""),"")</f>
        <v/>
      </c>
      <c r="J50" s="64">
        <f>ROUNDDOWN(計算シート!$B$11*0.05+(10470*0.4),0)</f>
        <v>4188</v>
      </c>
      <c r="K50" s="64" t="str">
        <f>IF(AND(計算シート!$E$3='計算式あて（再計算後）'!C50,E50="○",G50="○",I50="○"),"★","")</f>
        <v/>
      </c>
      <c r="L50" s="66" t="str">
        <f>IF(AND(計算シート!$E$5='計算式あて（再計算後）'!C50,E50="○",G50="○",I50="○"),"◆","")</f>
        <v/>
      </c>
      <c r="M50" s="23">
        <v>0.01</v>
      </c>
    </row>
    <row r="51" spans="1:13">
      <c r="A51" s="25"/>
      <c r="B51" s="25"/>
      <c r="C51" s="24">
        <v>42583</v>
      </c>
      <c r="D51" s="23" t="s">
        <v>70</v>
      </c>
      <c r="E51" s="64" t="str">
        <f>IFERROR(IF(D51=計算シート!$B$7,"○",""),"")</f>
        <v/>
      </c>
      <c r="F51" s="23" t="s">
        <v>462</v>
      </c>
      <c r="G51" s="64" t="str">
        <f>IFERROR(IF(AND(計算シート!$B$11&gt;10470,計算シート!$B$11&lt;=14870),"○",""),"")</f>
        <v/>
      </c>
      <c r="H51" s="23" t="s">
        <v>84</v>
      </c>
      <c r="I51" s="64" t="str">
        <f t="shared" ref="I51:I52" si="2">G51</f>
        <v/>
      </c>
      <c r="J51" s="64">
        <f>ROUNDDOWN(計算シート!$B$11*0.45,0)</f>
        <v>0</v>
      </c>
      <c r="K51" s="64" t="str">
        <f>IF(AND(計算シート!$E$3='計算式あて（再計算後）'!C51,E51="○",G51="○",I51="○"),"★","")</f>
        <v/>
      </c>
      <c r="L51" s="66" t="str">
        <f>IF(AND(計算シート!$E$5='計算式あて（再計算後）'!C51,E51="○",G51="○",I51="○"),"◆","")</f>
        <v/>
      </c>
      <c r="M51" s="23">
        <v>0.01</v>
      </c>
    </row>
    <row r="52" spans="1:13">
      <c r="A52" s="27"/>
      <c r="B52" s="28"/>
      <c r="C52" s="24">
        <v>42583</v>
      </c>
      <c r="D52" s="23" t="s">
        <v>70</v>
      </c>
      <c r="E52" s="64" t="str">
        <f>IFERROR(IF(D52=計算シート!$B$7,"○",""),"")</f>
        <v/>
      </c>
      <c r="F52" s="23" t="s">
        <v>119</v>
      </c>
      <c r="G52" s="64" t="str">
        <f>IFERROR(IF(計算シート!$B$11&gt;14870,"○",""),"")</f>
        <v/>
      </c>
      <c r="H52" s="23" t="s">
        <v>113</v>
      </c>
      <c r="I52" s="64" t="str">
        <f t="shared" si="2"/>
        <v/>
      </c>
      <c r="J52" s="64">
        <v>6691</v>
      </c>
      <c r="K52" s="64" t="str">
        <f>IF(AND(計算シート!$E$3='計算式あて（再計算後）'!C52,E52="○",G52="○",I52="○"),"★","")</f>
        <v/>
      </c>
      <c r="L52" s="66" t="str">
        <f>IF(AND(計算シート!$E$5='計算式あて（再計算後）'!C52,E52="○",G52="○",I52="○"),"◆","")</f>
        <v/>
      </c>
      <c r="M52" s="23">
        <v>0.01</v>
      </c>
    </row>
    <row r="53" spans="1:13" ht="27">
      <c r="A53" s="25"/>
      <c r="B53" s="26" t="s">
        <v>301</v>
      </c>
      <c r="C53" s="24">
        <v>42217</v>
      </c>
      <c r="D53" s="23" t="s">
        <v>67</v>
      </c>
      <c r="E53" s="64" t="str">
        <f>IFERROR(IF(D53=計算シート!$B$7,"○",""),"")</f>
        <v/>
      </c>
      <c r="F53" s="23" t="s">
        <v>164</v>
      </c>
      <c r="G53" s="64" t="str">
        <f>IFERROR(IF(AND(計算シート!$B$11&gt;=2310,計算シート!$B$11&lt;4620),"○",""),"")</f>
        <v/>
      </c>
      <c r="H53" s="23" t="s">
        <v>80</v>
      </c>
      <c r="I53" s="64" t="str">
        <f>G53</f>
        <v/>
      </c>
      <c r="J53" s="64">
        <f>ROUNDDOWN(計算シート!$B$11*0.8,0)</f>
        <v>0</v>
      </c>
      <c r="K53" s="64" t="str">
        <f>IF(AND(計算シート!$E$3='計算式あて（再計算後）'!C53,E53="○",G53="○",I53="○"),"★","")</f>
        <v/>
      </c>
      <c r="L53" s="66" t="str">
        <f>IF(AND(計算シート!$E$5='計算式あて（再計算後）'!C53,E53="○",G53="○",I53="○"),"◆","")</f>
        <v/>
      </c>
      <c r="M53" s="23">
        <v>0.01</v>
      </c>
    </row>
    <row r="54" spans="1:13">
      <c r="A54" s="25"/>
      <c r="B54" s="25"/>
      <c r="C54" s="24">
        <v>42217</v>
      </c>
      <c r="D54" s="23" t="s">
        <v>67</v>
      </c>
      <c r="E54" s="64" t="str">
        <f>IFERROR(IF(D54=計算シート!$B$7,"○",""),"")</f>
        <v/>
      </c>
      <c r="F54" s="23" t="s">
        <v>463</v>
      </c>
      <c r="G54" s="64" t="str">
        <f>IFERROR(IF(AND(計算シート!$B$11&gt;=4620,計算シート!$B$11&lt;=11710),"○",""),"")</f>
        <v/>
      </c>
      <c r="H54" s="23" t="s">
        <v>165</v>
      </c>
      <c r="I54" s="64" t="str">
        <f t="shared" ref="I54:I65" si="3">G54</f>
        <v/>
      </c>
      <c r="J54" s="64">
        <f>ROUNDDOWN(0.8*計算シート!$B$11-0.3*((計算シート!$B$11-4620)/(11710-4620))*計算シート!$B$11,0)</f>
        <v>0</v>
      </c>
      <c r="K54" s="64" t="str">
        <f>IF(AND(計算シート!$E$3='計算式あて（再計算後）'!C54,E54="○",G54="○",I54="○"),"★","")</f>
        <v/>
      </c>
      <c r="L54" s="66" t="str">
        <f>IF(AND(計算シート!$E$5='計算式あて（再計算後）'!C54,E54="○",G54="○",I54="○"),"◆","")</f>
        <v/>
      </c>
      <c r="M54" s="23">
        <v>0.01</v>
      </c>
    </row>
    <row r="55" spans="1:13">
      <c r="A55" s="25"/>
      <c r="B55" s="25"/>
      <c r="C55" s="24">
        <v>42217</v>
      </c>
      <c r="D55" s="23" t="s">
        <v>67</v>
      </c>
      <c r="E55" s="64" t="str">
        <f>IFERROR(IF(D55=計算シート!$B$7,"○",""),"")</f>
        <v/>
      </c>
      <c r="F55" s="23" t="s">
        <v>464</v>
      </c>
      <c r="G55" s="64" t="str">
        <f>IFERROR(IF(AND(計算シート!$B$11&gt;11710,計算シート!$B$11&lt;=12830),"○",""),"")</f>
        <v/>
      </c>
      <c r="H55" s="23" t="s">
        <v>82</v>
      </c>
      <c r="I55" s="64" t="str">
        <f t="shared" si="3"/>
        <v/>
      </c>
      <c r="J55" s="64">
        <f>ROUNDDOWN(計算シート!$B$11*0.5,0)</f>
        <v>0</v>
      </c>
      <c r="K55" s="64" t="str">
        <f>IF(AND(計算シート!$E$3='計算式あて（再計算後）'!C55,E55="○",G55="○",I55="○"),"★","")</f>
        <v/>
      </c>
      <c r="L55" s="66" t="str">
        <f>IF(AND(計算シート!$E$5='計算式あて（再計算後）'!C55,E55="○",G55="○",I55="○"),"◆","")</f>
        <v/>
      </c>
      <c r="M55" s="23">
        <v>0.01</v>
      </c>
    </row>
    <row r="56" spans="1:13">
      <c r="A56" s="25"/>
      <c r="B56" s="25"/>
      <c r="C56" s="24">
        <v>42217</v>
      </c>
      <c r="D56" s="23" t="s">
        <v>67</v>
      </c>
      <c r="E56" s="64" t="str">
        <f>IFERROR(IF(D56=計算シート!$B$7,"○",""),"")</f>
        <v/>
      </c>
      <c r="F56" s="23" t="s">
        <v>172</v>
      </c>
      <c r="G56" s="64" t="str">
        <f>IFERROR(IF(計算シート!$B$11&gt;12830,"○",""),"")</f>
        <v/>
      </c>
      <c r="H56" s="23" t="s">
        <v>176</v>
      </c>
      <c r="I56" s="64" t="str">
        <f t="shared" si="3"/>
        <v/>
      </c>
      <c r="J56" s="64">
        <v>6415</v>
      </c>
      <c r="K56" s="64" t="str">
        <f>IF(AND(計算シート!$E$3='計算式あて（再計算後）'!C56,E56="○",G56="○",I56="○"),"★","")</f>
        <v/>
      </c>
      <c r="L56" s="66" t="str">
        <f>IF(AND(計算シート!$E$5='計算式あて（再計算後）'!C56,E56="○",G56="○",I56="○"),"◆","")</f>
        <v/>
      </c>
      <c r="M56" s="23">
        <v>0.01</v>
      </c>
    </row>
    <row r="57" spans="1:13">
      <c r="A57" s="25"/>
      <c r="B57" s="25"/>
      <c r="C57" s="24">
        <v>42217</v>
      </c>
      <c r="D57" s="23" t="s">
        <v>68</v>
      </c>
      <c r="E57" s="64" t="str">
        <f>IFERROR(IF(D57=計算シート!$B$7,"○",""),"")</f>
        <v/>
      </c>
      <c r="F57" s="23" t="s">
        <v>164</v>
      </c>
      <c r="G57" s="64" t="str">
        <f>IFERROR(IF(AND(計算シート!$B$11&gt;=2310,計算シート!$B$11&lt;4620),"○",""),"")</f>
        <v/>
      </c>
      <c r="H57" s="23" t="s">
        <v>80</v>
      </c>
      <c r="I57" s="64" t="str">
        <f t="shared" si="3"/>
        <v/>
      </c>
      <c r="J57" s="64">
        <f>ROUNDDOWN(計算シート!$B$11*0.8,0)</f>
        <v>0</v>
      </c>
      <c r="K57" s="64" t="str">
        <f>IF(AND(計算シート!$E$3='計算式あて（再計算後）'!C57,E57="○",G57="○",I57="○"),"★","")</f>
        <v/>
      </c>
      <c r="L57" s="66" t="str">
        <f>IF(AND(計算シート!$E$5='計算式あて（再計算後）'!C57,E57="○",G57="○",I57="○"),"◆","")</f>
        <v/>
      </c>
      <c r="M57" s="23">
        <v>0.01</v>
      </c>
    </row>
    <row r="58" spans="1:13">
      <c r="A58" s="25"/>
      <c r="B58" s="25"/>
      <c r="C58" s="24">
        <v>42217</v>
      </c>
      <c r="D58" s="23" t="s">
        <v>68</v>
      </c>
      <c r="E58" s="64" t="str">
        <f>IFERROR(IF(D58=計算シート!$B$7,"○",""),"")</f>
        <v/>
      </c>
      <c r="F58" s="23" t="s">
        <v>463</v>
      </c>
      <c r="G58" s="64" t="str">
        <f>IFERROR(IF(AND(計算シート!$B$11&gt;=4620,計算シート!$B$11&lt;=11710),"○",""),"")</f>
        <v/>
      </c>
      <c r="H58" s="23" t="s">
        <v>165</v>
      </c>
      <c r="I58" s="64" t="str">
        <f t="shared" si="3"/>
        <v/>
      </c>
      <c r="J58" s="64">
        <f>ROUNDDOWN(0.8*計算シート!$B$11-0.3*((計算シート!$B$11-4620)/(11710-4620))*計算シート!$B$11,0)</f>
        <v>0</v>
      </c>
      <c r="K58" s="64" t="str">
        <f>IF(AND(計算シート!$E$3='計算式あて（再計算後）'!C58,E58="○",G58="○",I58="○"),"★","")</f>
        <v/>
      </c>
      <c r="L58" s="66" t="str">
        <f>IF(AND(計算シート!$E$5='計算式あて（再計算後）'!C58,E58="○",G58="○",I58="○"),"◆","")</f>
        <v/>
      </c>
      <c r="M58" s="23">
        <v>0.01</v>
      </c>
    </row>
    <row r="59" spans="1:13">
      <c r="A59" s="25"/>
      <c r="B59" s="25"/>
      <c r="C59" s="24">
        <v>42217</v>
      </c>
      <c r="D59" s="23" t="s">
        <v>68</v>
      </c>
      <c r="E59" s="64" t="str">
        <f>IFERROR(IF(D59=計算シート!$B$7,"○",""),"")</f>
        <v/>
      </c>
      <c r="F59" s="23" t="s">
        <v>465</v>
      </c>
      <c r="G59" s="64" t="str">
        <f>IFERROR(IF(AND(計算シート!$B$11&gt;11710,計算シート!$B$11&lt;=14240),"○",""),"")</f>
        <v/>
      </c>
      <c r="H59" s="23" t="s">
        <v>82</v>
      </c>
      <c r="I59" s="64" t="str">
        <f t="shared" si="3"/>
        <v/>
      </c>
      <c r="J59" s="64">
        <f>ROUNDDOWN(計算シート!$B$11*0.5,0)</f>
        <v>0</v>
      </c>
      <c r="K59" s="64" t="str">
        <f>IF(AND(計算シート!$E$3='計算式あて（再計算後）'!C59,E59="○",G59="○",I59="○"),"★","")</f>
        <v/>
      </c>
      <c r="L59" s="66" t="str">
        <f>IF(AND(計算シート!$E$5='計算式あて（再計算後）'!C59,E59="○",G59="○",I59="○"),"◆","")</f>
        <v/>
      </c>
      <c r="M59" s="23">
        <v>0.01</v>
      </c>
    </row>
    <row r="60" spans="1:13">
      <c r="A60" s="25"/>
      <c r="B60" s="25"/>
      <c r="C60" s="24">
        <v>42217</v>
      </c>
      <c r="D60" s="23" t="s">
        <v>68</v>
      </c>
      <c r="E60" s="64" t="str">
        <f>IFERROR(IF(D60=計算シート!$B$7,"○",""),"")</f>
        <v/>
      </c>
      <c r="F60" s="23" t="s">
        <v>166</v>
      </c>
      <c r="G60" s="64" t="str">
        <f>IFERROR(IF(計算シート!$B$11&gt;14240,"○",""),"")</f>
        <v/>
      </c>
      <c r="H60" s="23" t="s">
        <v>173</v>
      </c>
      <c r="I60" s="64" t="str">
        <f t="shared" si="3"/>
        <v/>
      </c>
      <c r="J60" s="64">
        <v>7120</v>
      </c>
      <c r="K60" s="64" t="str">
        <f>IF(AND(計算シート!$E$3='計算式あて（再計算後）'!C60,E60="○",G60="○",I60="○"),"★","")</f>
        <v/>
      </c>
      <c r="L60" s="66" t="str">
        <f>IF(AND(計算シート!$E$5='計算式あて（再計算後）'!C60,E60="○",G60="○",I60="○"),"◆","")</f>
        <v/>
      </c>
      <c r="M60" s="23">
        <v>0.01</v>
      </c>
    </row>
    <row r="61" spans="1:13">
      <c r="A61" s="25"/>
      <c r="B61" s="25"/>
      <c r="C61" s="24">
        <v>42217</v>
      </c>
      <c r="D61" s="23" t="s">
        <v>69</v>
      </c>
      <c r="E61" s="64" t="str">
        <f>IFERROR(IF(D61=計算シート!$B$7,"○",""),"")</f>
        <v/>
      </c>
      <c r="F61" s="23" t="s">
        <v>164</v>
      </c>
      <c r="G61" s="64" t="str">
        <f>IFERROR(IF(AND(計算シート!$B$11&gt;=2310,計算シート!$B$11&lt;4620),"○",""),"")</f>
        <v/>
      </c>
      <c r="H61" s="23" t="s">
        <v>80</v>
      </c>
      <c r="I61" s="64" t="str">
        <f t="shared" si="3"/>
        <v/>
      </c>
      <c r="J61" s="64">
        <f>ROUNDDOWN(計算シート!$B$11*0.8,0)</f>
        <v>0</v>
      </c>
      <c r="K61" s="64" t="str">
        <f>IF(AND(計算シート!$E$3='計算式あて（再計算後）'!C61,E61="○",G61="○",I61="○"),"★","")</f>
        <v/>
      </c>
      <c r="L61" s="66" t="str">
        <f>IF(AND(計算シート!$E$5='計算式あて（再計算後）'!C61,E61="○",G61="○",I61="○"),"◆","")</f>
        <v/>
      </c>
      <c r="M61" s="23">
        <v>0.01</v>
      </c>
    </row>
    <row r="62" spans="1:13">
      <c r="A62" s="25"/>
      <c r="B62" s="25"/>
      <c r="C62" s="24">
        <v>42217</v>
      </c>
      <c r="D62" s="23" t="s">
        <v>69</v>
      </c>
      <c r="E62" s="64" t="str">
        <f>IFERROR(IF(D62=計算シート!$B$7,"○",""),"")</f>
        <v/>
      </c>
      <c r="F62" s="23" t="s">
        <v>463</v>
      </c>
      <c r="G62" s="64" t="str">
        <f>IFERROR(IF(AND(計算シート!$B$11&gt;=4620,計算シート!$B$11&lt;=11710),"○",""),"")</f>
        <v/>
      </c>
      <c r="H62" s="23" t="s">
        <v>165</v>
      </c>
      <c r="I62" s="64" t="str">
        <f t="shared" si="3"/>
        <v/>
      </c>
      <c r="J62" s="64">
        <f>ROUNDDOWN(0.8*計算シート!$B$11-0.3*((計算シート!$B$11-4620)/(11710-4620))*計算シート!$B$11,0)</f>
        <v>0</v>
      </c>
      <c r="K62" s="64" t="str">
        <f>IF(AND(計算シート!$E$3='計算式あて（再計算後）'!C62,E62="○",G62="○",I62="○"),"★","")</f>
        <v/>
      </c>
      <c r="L62" s="66" t="str">
        <f>IF(AND(計算シート!$E$5='計算式あて（再計算後）'!C62,E62="○",G62="○",I62="○"),"◆","")</f>
        <v/>
      </c>
      <c r="M62" s="23">
        <v>0.01</v>
      </c>
    </row>
    <row r="63" spans="1:13">
      <c r="A63" s="25"/>
      <c r="B63" s="25"/>
      <c r="C63" s="24">
        <v>42217</v>
      </c>
      <c r="D63" s="23" t="s">
        <v>69</v>
      </c>
      <c r="E63" s="64" t="str">
        <f>IFERROR(IF(D63=計算シート!$B$7,"○",""),"")</f>
        <v/>
      </c>
      <c r="F63" s="23" t="s">
        <v>466</v>
      </c>
      <c r="G63" s="64" t="str">
        <f>IFERROR(IF(AND(計算シート!$B$11&gt;11710,計算シート!$B$11&lt;=15660),"○",""),"")</f>
        <v/>
      </c>
      <c r="H63" s="23" t="s">
        <v>82</v>
      </c>
      <c r="I63" s="64" t="str">
        <f t="shared" si="3"/>
        <v/>
      </c>
      <c r="J63" s="64">
        <f>ROUNDDOWN(計算シート!$B$11*0.5,0)</f>
        <v>0</v>
      </c>
      <c r="K63" s="64" t="str">
        <f>IF(AND(計算シート!$E$3='計算式あて（再計算後）'!C63,E63="○",G63="○",I63="○"),"★","")</f>
        <v/>
      </c>
      <c r="L63" s="66" t="str">
        <f>IF(AND(計算シート!$E$5='計算式あて（再計算後）'!C63,E63="○",G63="○",I63="○"),"◆","")</f>
        <v/>
      </c>
      <c r="M63" s="23">
        <v>0.01</v>
      </c>
    </row>
    <row r="64" spans="1:13">
      <c r="A64" s="25"/>
      <c r="B64" s="25"/>
      <c r="C64" s="24">
        <v>42217</v>
      </c>
      <c r="D64" s="23" t="s">
        <v>69</v>
      </c>
      <c r="E64" s="64" t="str">
        <f>IFERROR(IF(D64=計算シート!$B$7,"○",""),"")</f>
        <v/>
      </c>
      <c r="F64" s="23" t="s">
        <v>167</v>
      </c>
      <c r="G64" s="64" t="str">
        <f>IFERROR(IF(計算シート!$B$11&gt;15660,"○",""),"")</f>
        <v/>
      </c>
      <c r="H64" s="23" t="s">
        <v>174</v>
      </c>
      <c r="I64" s="64" t="str">
        <f t="shared" si="3"/>
        <v/>
      </c>
      <c r="J64" s="64">
        <v>7830</v>
      </c>
      <c r="K64" s="64" t="str">
        <f>IF(AND(計算シート!$E$3='計算式あて（再計算後）'!C64,E64="○",G64="○",I64="○"),"★","")</f>
        <v/>
      </c>
      <c r="L64" s="66" t="str">
        <f>IF(AND(計算シート!$E$5='計算式あて（再計算後）'!C64,E64="○",G64="○",I64="○"),"◆","")</f>
        <v/>
      </c>
      <c r="M64" s="23">
        <v>0.01</v>
      </c>
    </row>
    <row r="65" spans="1:13">
      <c r="A65" s="25"/>
      <c r="B65" s="25"/>
      <c r="C65" s="24">
        <v>42217</v>
      </c>
      <c r="D65" s="23" t="s">
        <v>70</v>
      </c>
      <c r="E65" s="64" t="str">
        <f>IFERROR(IF(D65=計算シート!$B$7,"○",""),"")</f>
        <v/>
      </c>
      <c r="F65" s="23" t="s">
        <v>164</v>
      </c>
      <c r="G65" s="64" t="str">
        <f>IFERROR(IF(AND(計算シート!$B$11&gt;=2310,計算シート!$B$11&lt;4620),"○",""),"")</f>
        <v/>
      </c>
      <c r="H65" s="23" t="s">
        <v>80</v>
      </c>
      <c r="I65" s="64" t="str">
        <f t="shared" si="3"/>
        <v/>
      </c>
      <c r="J65" s="64">
        <f>ROUNDDOWN(計算シート!$B$11*0.8,0)</f>
        <v>0</v>
      </c>
      <c r="K65" s="64" t="str">
        <f>IF(AND(計算シート!$E$3='計算式あて（再計算後）'!C65,E65="○",G65="○",I65="○"),"★","")</f>
        <v/>
      </c>
      <c r="L65" s="66" t="str">
        <f>IF(AND(計算シート!$E$5='計算式あて（再計算後）'!C65,E65="○",G65="○",I65="○"),"◆","")</f>
        <v/>
      </c>
      <c r="M65" s="23">
        <v>0.01</v>
      </c>
    </row>
    <row r="66" spans="1:13">
      <c r="A66" s="25"/>
      <c r="B66" s="25"/>
      <c r="C66" s="24">
        <v>42217</v>
      </c>
      <c r="D66" s="23" t="s">
        <v>70</v>
      </c>
      <c r="E66" s="64" t="str">
        <f>IFERROR(IF(D66=計算シート!$B$7,"○",""),"")</f>
        <v/>
      </c>
      <c r="F66" s="23" t="s">
        <v>467</v>
      </c>
      <c r="G66" s="64" t="str">
        <f>IFERROR(IF(AND(計算シート!$B$11&gt;=4620,計算シート!$B$11&lt;=10530),"○",""),"")</f>
        <v/>
      </c>
      <c r="H66" s="23" t="s">
        <v>168</v>
      </c>
      <c r="I66" s="64" t="str">
        <f>IFERROR(IF(J66&lt;J67,"○",""),"")</f>
        <v>○</v>
      </c>
      <c r="J66" s="64">
        <f>ROUNDDOWN(0.8*計算シート!$B$11-0.35*((計算シート!$B$11-4620)/(10530-4620))*計算シート!$B$11,0)</f>
        <v>0</v>
      </c>
      <c r="K66" s="64" t="str">
        <f>IF(AND(計算シート!$E$3='計算式あて（再計算後）'!C66,E66="○",G66="○",I66="○"),"★","")</f>
        <v/>
      </c>
      <c r="L66" s="66" t="str">
        <f>IF(AND(計算シート!$E$5='計算式あて（再計算後）'!C66,E66="○",G66="○",I66="○"),"◆","")</f>
        <v/>
      </c>
      <c r="M66" s="23">
        <v>0.01</v>
      </c>
    </row>
    <row r="67" spans="1:13">
      <c r="A67" s="25"/>
      <c r="B67" s="25"/>
      <c r="C67" s="24">
        <v>42217</v>
      </c>
      <c r="D67" s="23" t="s">
        <v>70</v>
      </c>
      <c r="E67" s="64" t="str">
        <f>IFERROR(IF(D67=計算シート!$B$7,"○",""),"")</f>
        <v/>
      </c>
      <c r="F67" s="23" t="s">
        <v>467</v>
      </c>
      <c r="G67" s="64" t="str">
        <f>IFERROR(IF(AND(計算シート!$B$11&gt;=4620,計算シート!$B$11&lt;=10530),"○",""),"")</f>
        <v/>
      </c>
      <c r="H67" s="23" t="s">
        <v>169</v>
      </c>
      <c r="I67" s="64" t="str">
        <f>IFERROR(IF(J67&lt;J66,"○",""),"")</f>
        <v/>
      </c>
      <c r="J67" s="64">
        <f>ROUNDDOWN(計算シート!$B$11*0.05+(10530*0.4),0)</f>
        <v>4212</v>
      </c>
      <c r="K67" s="64" t="str">
        <f>IF(AND(計算シート!$E$3='計算式あて（再計算後）'!C67,E67="○",G67="○",I67="○"),"★","")</f>
        <v/>
      </c>
      <c r="L67" s="66" t="str">
        <f>IF(AND(計算シート!$E$5='計算式あて（再計算後）'!C67,E67="○",G67="○",I67="○"),"◆","")</f>
        <v/>
      </c>
      <c r="M67" s="23">
        <v>0.01</v>
      </c>
    </row>
    <row r="68" spans="1:13">
      <c r="A68" s="25"/>
      <c r="B68" s="25"/>
      <c r="C68" s="24">
        <v>42217</v>
      </c>
      <c r="D68" s="23" t="s">
        <v>70</v>
      </c>
      <c r="E68" s="64" t="str">
        <f>IFERROR(IF(D68=計算シート!$B$7,"○",""),"")</f>
        <v/>
      </c>
      <c r="F68" s="23" t="s">
        <v>170</v>
      </c>
      <c r="G68" s="64" t="str">
        <f>IFERROR(IF(AND(計算シート!$B$11&gt;10530,計算シート!$B$11&lt;=14960),"○",""),"")</f>
        <v/>
      </c>
      <c r="H68" s="23" t="s">
        <v>84</v>
      </c>
      <c r="I68" s="64" t="str">
        <f t="shared" ref="I68:I69" si="4">G68</f>
        <v/>
      </c>
      <c r="J68" s="64">
        <f>ROUNDDOWN(計算シート!$B$11*0.45,0)</f>
        <v>0</v>
      </c>
      <c r="K68" s="64" t="str">
        <f>IF(AND(計算シート!$E$3='計算式あて（再計算後）'!C68,E68="○",G68="○",I68="○"),"★","")</f>
        <v/>
      </c>
      <c r="L68" s="66" t="str">
        <f>IF(AND(計算シート!$E$5='計算式あて（再計算後）'!C68,E68="○",G68="○",I68="○"),"◆","")</f>
        <v/>
      </c>
      <c r="M68" s="23">
        <v>0.01</v>
      </c>
    </row>
    <row r="69" spans="1:13">
      <c r="A69" s="27"/>
      <c r="B69" s="28"/>
      <c r="C69" s="24">
        <v>42217</v>
      </c>
      <c r="D69" s="23" t="s">
        <v>70</v>
      </c>
      <c r="E69" s="64" t="str">
        <f>IFERROR(IF(D69=計算シート!$B$7,"○",""),"")</f>
        <v/>
      </c>
      <c r="F69" s="23" t="s">
        <v>171</v>
      </c>
      <c r="G69" s="64" t="str">
        <f>IFERROR(IF(計算シート!$B$11&gt;14960,"○",""),"")</f>
        <v/>
      </c>
      <c r="H69" s="23" t="s">
        <v>175</v>
      </c>
      <c r="I69" s="64" t="str">
        <f t="shared" si="4"/>
        <v/>
      </c>
      <c r="J69" s="64">
        <v>6732</v>
      </c>
      <c r="K69" s="64" t="str">
        <f>IF(AND(計算シート!$E$3='計算式あて（再計算後）'!C69,E69="○",G69="○",I69="○"),"★","")</f>
        <v/>
      </c>
      <c r="L69" s="66" t="str">
        <f>IF(AND(計算シート!$E$5='計算式あて（再計算後）'!C69,E69="○",G69="○",I69="○"),"◆","")</f>
        <v/>
      </c>
      <c r="M69" s="23">
        <v>0.01</v>
      </c>
    </row>
    <row r="70" spans="1:13" ht="27">
      <c r="A70" s="25"/>
      <c r="B70" s="26" t="s">
        <v>302</v>
      </c>
      <c r="C70" s="24">
        <v>41852</v>
      </c>
      <c r="D70" s="23" t="s">
        <v>67</v>
      </c>
      <c r="E70" s="64" t="str">
        <f>IFERROR(IF(D70=計算シート!$B$7,"○",""),"")</f>
        <v/>
      </c>
      <c r="F70" s="23" t="s">
        <v>177</v>
      </c>
      <c r="G70" s="64" t="str">
        <f>IFERROR(IF(AND(計算シート!$B$11&gt;=2310,計算シート!$B$11&lt;4610),"○",""),"")</f>
        <v/>
      </c>
      <c r="H70" s="23" t="s">
        <v>80</v>
      </c>
      <c r="I70" s="64" t="str">
        <f>G70</f>
        <v/>
      </c>
      <c r="J70" s="64">
        <f>ROUNDDOWN(計算シート!$B$11*0.8,0)</f>
        <v>0</v>
      </c>
      <c r="K70" s="64" t="str">
        <f>IF(AND(計算シート!$E$3='計算式あて（再計算後）'!C70,E70="○",G70="○",I70="○"),"★","")</f>
        <v/>
      </c>
      <c r="L70" s="66" t="str">
        <f>IF(AND(計算シート!$E$5='計算式あて（再計算後）'!C70,E70="○",G70="○",I70="○"),"◆","")</f>
        <v/>
      </c>
      <c r="M70" s="23">
        <v>0.01</v>
      </c>
    </row>
    <row r="71" spans="1:13">
      <c r="A71" s="25"/>
      <c r="B71" s="25"/>
      <c r="C71" s="24">
        <v>41852</v>
      </c>
      <c r="D71" s="23" t="s">
        <v>67</v>
      </c>
      <c r="E71" s="64" t="str">
        <f>IFERROR(IF(D71=計算シート!$B$7,"○",""),"")</f>
        <v/>
      </c>
      <c r="F71" s="23" t="s">
        <v>468</v>
      </c>
      <c r="G71" s="64" t="str">
        <f>IFERROR(IF(AND(計算シート!$B$11&gt;=4610,計算シート!$B$11&lt;=11690),"○",""),"")</f>
        <v/>
      </c>
      <c r="H71" s="23" t="s">
        <v>178</v>
      </c>
      <c r="I71" s="64" t="str">
        <f t="shared" ref="I71:I82" si="5">G71</f>
        <v/>
      </c>
      <c r="J71" s="64">
        <f>ROUNDDOWN(0.8*計算シート!$B$11-0.3*((計算シート!$B$11-4610)/(11690-4610))*計算シート!$B$11,0)</f>
        <v>0</v>
      </c>
      <c r="K71" s="64" t="str">
        <f>IF(AND(計算シート!$E$3='計算式あて（再計算後）'!C71,E71="○",G71="○",I71="○"),"★","")</f>
        <v/>
      </c>
      <c r="L71" s="66" t="str">
        <f>IF(AND(計算シート!$E$5='計算式あて（再計算後）'!C71,E71="○",G71="○",I71="○"),"◆","")</f>
        <v/>
      </c>
      <c r="M71" s="23">
        <v>0.01</v>
      </c>
    </row>
    <row r="72" spans="1:13">
      <c r="A72" s="25"/>
      <c r="B72" s="25"/>
      <c r="C72" s="24">
        <v>41852</v>
      </c>
      <c r="D72" s="23" t="s">
        <v>67</v>
      </c>
      <c r="E72" s="64" t="str">
        <f>IFERROR(IF(D72=計算シート!$B$7,"○",""),"")</f>
        <v/>
      </c>
      <c r="F72" s="23" t="s">
        <v>469</v>
      </c>
      <c r="G72" s="64" t="str">
        <f>IFERROR(IF(AND(計算シート!$B$11&gt;11690,計算シート!$B$11&lt;=12810),"○",""),"")</f>
        <v/>
      </c>
      <c r="H72" s="23" t="s">
        <v>82</v>
      </c>
      <c r="I72" s="64" t="str">
        <f t="shared" si="5"/>
        <v/>
      </c>
      <c r="J72" s="64">
        <f>ROUNDDOWN(計算シート!$B$11*0.5,0)</f>
        <v>0</v>
      </c>
      <c r="K72" s="64" t="str">
        <f>IF(AND(計算シート!$E$3='計算式あて（再計算後）'!C72,E72="○",G72="○",I72="○"),"★","")</f>
        <v/>
      </c>
      <c r="L72" s="66" t="str">
        <f>IF(AND(計算シート!$E$5='計算式あて（再計算後）'!C72,E72="○",G72="○",I72="○"),"◆","")</f>
        <v/>
      </c>
      <c r="M72" s="23">
        <v>0.01</v>
      </c>
    </row>
    <row r="73" spans="1:13">
      <c r="A73" s="25"/>
      <c r="B73" s="25"/>
      <c r="C73" s="24">
        <v>41852</v>
      </c>
      <c r="D73" s="23" t="s">
        <v>67</v>
      </c>
      <c r="E73" s="64" t="str">
        <f>IFERROR(IF(D73=計算シート!$B$7,"○",""),"")</f>
        <v/>
      </c>
      <c r="F73" s="23" t="s">
        <v>185</v>
      </c>
      <c r="G73" s="64" t="str">
        <f>IFERROR(IF(計算シート!$B$11&gt;12810,"○",""),"")</f>
        <v/>
      </c>
      <c r="H73" s="23" t="s">
        <v>189</v>
      </c>
      <c r="I73" s="64" t="str">
        <f t="shared" si="5"/>
        <v/>
      </c>
      <c r="J73" s="64">
        <v>6405</v>
      </c>
      <c r="K73" s="64" t="str">
        <f>IF(AND(計算シート!$E$3='計算式あて（再計算後）'!C73,E73="○",G73="○",I73="○"),"★","")</f>
        <v/>
      </c>
      <c r="L73" s="66" t="str">
        <f>IF(AND(計算シート!$E$5='計算式あて（再計算後）'!C73,E73="○",G73="○",I73="○"),"◆","")</f>
        <v/>
      </c>
      <c r="M73" s="23">
        <v>0.01</v>
      </c>
    </row>
    <row r="74" spans="1:13">
      <c r="A74" s="25"/>
      <c r="B74" s="25"/>
      <c r="C74" s="24">
        <v>41852</v>
      </c>
      <c r="D74" s="23" t="s">
        <v>68</v>
      </c>
      <c r="E74" s="64" t="str">
        <f>IFERROR(IF(D74=計算シート!$B$7,"○",""),"")</f>
        <v/>
      </c>
      <c r="F74" s="23" t="s">
        <v>177</v>
      </c>
      <c r="G74" s="64" t="str">
        <f>IFERROR(IF(AND(計算シート!$B$11&gt;=2310,計算シート!$B$11&lt;4610),"○",""),"")</f>
        <v/>
      </c>
      <c r="H74" s="23" t="s">
        <v>80</v>
      </c>
      <c r="I74" s="64" t="str">
        <f t="shared" si="5"/>
        <v/>
      </c>
      <c r="J74" s="64">
        <f>ROUNDDOWN(計算シート!$B$11*0.8,0)</f>
        <v>0</v>
      </c>
      <c r="K74" s="64" t="str">
        <f>IF(AND(計算シート!$E$3='計算式あて（再計算後）'!C74,E74="○",G74="○",I74="○"),"★","")</f>
        <v/>
      </c>
      <c r="L74" s="66" t="str">
        <f>IF(AND(計算シート!$E$5='計算式あて（再計算後）'!C74,E74="○",G74="○",I74="○"),"◆","")</f>
        <v/>
      </c>
      <c r="M74" s="23">
        <v>0.01</v>
      </c>
    </row>
    <row r="75" spans="1:13">
      <c r="A75" s="25"/>
      <c r="B75" s="25"/>
      <c r="C75" s="24">
        <v>41852</v>
      </c>
      <c r="D75" s="23" t="s">
        <v>68</v>
      </c>
      <c r="E75" s="64" t="str">
        <f>IFERROR(IF(D75=計算シート!$B$7,"○",""),"")</f>
        <v/>
      </c>
      <c r="F75" s="23" t="s">
        <v>468</v>
      </c>
      <c r="G75" s="64" t="str">
        <f>IFERROR(IF(AND(計算シート!$B$11&gt;=4610,計算シート!$B$11&lt;=11690),"○",""),"")</f>
        <v/>
      </c>
      <c r="H75" s="23" t="s">
        <v>178</v>
      </c>
      <c r="I75" s="64" t="str">
        <f t="shared" si="5"/>
        <v/>
      </c>
      <c r="J75" s="64">
        <f>ROUNDDOWN(0.8*計算シート!$B$11-0.3*((計算シート!$B$11-4610)/(11690-4610))*計算シート!$B$11,0)</f>
        <v>0</v>
      </c>
      <c r="K75" s="64" t="str">
        <f>IF(AND(計算シート!$E$3='計算式あて（再計算後）'!C75,E75="○",G75="○",I75="○"),"★","")</f>
        <v/>
      </c>
      <c r="L75" s="66" t="str">
        <f>IF(AND(計算シート!$E$5='計算式あて（再計算後）'!C75,E75="○",G75="○",I75="○"),"◆","")</f>
        <v/>
      </c>
      <c r="M75" s="23">
        <v>0.01</v>
      </c>
    </row>
    <row r="76" spans="1:13">
      <c r="A76" s="25"/>
      <c r="B76" s="25"/>
      <c r="C76" s="24">
        <v>41852</v>
      </c>
      <c r="D76" s="23" t="s">
        <v>68</v>
      </c>
      <c r="E76" s="64" t="str">
        <f>IFERROR(IF(D76=計算シート!$B$7,"○",""),"")</f>
        <v/>
      </c>
      <c r="F76" s="23" t="s">
        <v>470</v>
      </c>
      <c r="G76" s="64" t="str">
        <f>IFERROR(IF(AND(計算シート!$B$11&gt;11690,計算シート!$B$11&lt;=14220),"○",""),"")</f>
        <v/>
      </c>
      <c r="H76" s="23" t="s">
        <v>82</v>
      </c>
      <c r="I76" s="64" t="str">
        <f t="shared" si="5"/>
        <v/>
      </c>
      <c r="J76" s="64">
        <f>ROUNDDOWN(計算シート!$B$11*0.5,0)</f>
        <v>0</v>
      </c>
      <c r="K76" s="64" t="str">
        <f>IF(AND(計算シート!$E$3='計算式あて（再計算後）'!C76,E76="○",G76="○",I76="○"),"★","")</f>
        <v/>
      </c>
      <c r="L76" s="66" t="str">
        <f>IF(AND(計算シート!$E$5='計算式あて（再計算後）'!C76,E76="○",G76="○",I76="○"),"◆","")</f>
        <v/>
      </c>
      <c r="M76" s="23">
        <v>0.01</v>
      </c>
    </row>
    <row r="77" spans="1:13">
      <c r="A77" s="25"/>
      <c r="B77" s="25"/>
      <c r="C77" s="24">
        <v>41852</v>
      </c>
      <c r="D77" s="23" t="s">
        <v>68</v>
      </c>
      <c r="E77" s="64" t="str">
        <f>IFERROR(IF(D77=計算シート!$B$7,"○",""),"")</f>
        <v/>
      </c>
      <c r="F77" s="23" t="s">
        <v>179</v>
      </c>
      <c r="G77" s="64" t="str">
        <f>IFERROR(IF(計算シート!$B$11&gt;14220,"○",""),"")</f>
        <v/>
      </c>
      <c r="H77" s="23" t="s">
        <v>186</v>
      </c>
      <c r="I77" s="64" t="str">
        <f t="shared" si="5"/>
        <v/>
      </c>
      <c r="J77" s="64">
        <v>7110</v>
      </c>
      <c r="K77" s="64" t="str">
        <f>IF(AND(計算シート!$E$3='計算式あて（再計算後）'!C77,E77="○",G77="○",I77="○"),"★","")</f>
        <v/>
      </c>
      <c r="L77" s="66" t="str">
        <f>IF(AND(計算シート!$E$5='計算式あて（再計算後）'!C77,E77="○",G77="○",I77="○"),"◆","")</f>
        <v/>
      </c>
      <c r="M77" s="23">
        <v>0.01</v>
      </c>
    </row>
    <row r="78" spans="1:13">
      <c r="A78" s="25"/>
      <c r="B78" s="25"/>
      <c r="C78" s="24">
        <v>41852</v>
      </c>
      <c r="D78" s="23" t="s">
        <v>69</v>
      </c>
      <c r="E78" s="64" t="str">
        <f>IFERROR(IF(D78=計算シート!$B$7,"○",""),"")</f>
        <v/>
      </c>
      <c r="F78" s="23" t="s">
        <v>177</v>
      </c>
      <c r="G78" s="64" t="str">
        <f>IFERROR(IF(AND(計算シート!$B$11&gt;=2310,計算シート!$B$11&lt;4610),"○",""),"")</f>
        <v/>
      </c>
      <c r="H78" s="23" t="s">
        <v>80</v>
      </c>
      <c r="I78" s="64" t="str">
        <f t="shared" si="5"/>
        <v/>
      </c>
      <c r="J78" s="64">
        <f>ROUNDDOWN(計算シート!$B$11*0.8,0)</f>
        <v>0</v>
      </c>
      <c r="K78" s="64" t="str">
        <f>IF(AND(計算シート!$E$3='計算式あて（再計算後）'!C78,E78="○",G78="○",I78="○"),"★","")</f>
        <v/>
      </c>
      <c r="L78" s="66" t="str">
        <f>IF(AND(計算シート!$E$5='計算式あて（再計算後）'!C78,E78="○",G78="○",I78="○"),"◆","")</f>
        <v/>
      </c>
      <c r="M78" s="23">
        <v>0.01</v>
      </c>
    </row>
    <row r="79" spans="1:13">
      <c r="A79" s="25"/>
      <c r="B79" s="25"/>
      <c r="C79" s="24">
        <v>41852</v>
      </c>
      <c r="D79" s="23" t="s">
        <v>69</v>
      </c>
      <c r="E79" s="64" t="str">
        <f>IFERROR(IF(D79=計算シート!$B$7,"○",""),"")</f>
        <v/>
      </c>
      <c r="F79" s="23" t="s">
        <v>468</v>
      </c>
      <c r="G79" s="64" t="str">
        <f>IFERROR(IF(AND(計算シート!$B$11&gt;=4610,計算シート!$B$11&lt;=11690),"○",""),"")</f>
        <v/>
      </c>
      <c r="H79" s="23" t="s">
        <v>178</v>
      </c>
      <c r="I79" s="64" t="str">
        <f t="shared" si="5"/>
        <v/>
      </c>
      <c r="J79" s="64">
        <f>ROUNDDOWN(0.8*計算シート!$B$11-0.3*((計算シート!$B$11-4610)/(11690-4610))*計算シート!$B$11,0)</f>
        <v>0</v>
      </c>
      <c r="K79" s="64" t="str">
        <f>IF(AND(計算シート!$E$3='計算式あて（再計算後）'!C79,E79="○",G79="○",I79="○"),"★","")</f>
        <v/>
      </c>
      <c r="L79" s="66" t="str">
        <f>IF(AND(計算シート!$E$5='計算式あて（再計算後）'!C79,E79="○",G79="○",I79="○"),"◆","")</f>
        <v/>
      </c>
      <c r="M79" s="23">
        <v>0.01</v>
      </c>
    </row>
    <row r="80" spans="1:13">
      <c r="A80" s="25"/>
      <c r="B80" s="25"/>
      <c r="C80" s="24">
        <v>41852</v>
      </c>
      <c r="D80" s="23" t="s">
        <v>69</v>
      </c>
      <c r="E80" s="64" t="str">
        <f>IFERROR(IF(D80=計算シート!$B$7,"○",""),"")</f>
        <v/>
      </c>
      <c r="F80" s="23" t="s">
        <v>471</v>
      </c>
      <c r="G80" s="64" t="str">
        <f>IFERROR(IF(AND(計算シート!$B$11&gt;11690,計算シート!$B$11&lt;=15640),"○",""),"")</f>
        <v/>
      </c>
      <c r="H80" s="23" t="s">
        <v>82</v>
      </c>
      <c r="I80" s="64" t="str">
        <f t="shared" si="5"/>
        <v/>
      </c>
      <c r="J80" s="64">
        <f>ROUNDDOWN(計算シート!$B$11*0.5,0)</f>
        <v>0</v>
      </c>
      <c r="K80" s="64" t="str">
        <f>IF(AND(計算シート!$E$3='計算式あて（再計算後）'!C80,E80="○",G80="○",I80="○"),"★","")</f>
        <v/>
      </c>
      <c r="L80" s="66" t="str">
        <f>IF(AND(計算シート!$E$5='計算式あて（再計算後）'!C80,E80="○",G80="○",I80="○"),"◆","")</f>
        <v/>
      </c>
      <c r="M80" s="23">
        <v>0.01</v>
      </c>
    </row>
    <row r="81" spans="1:13">
      <c r="A81" s="25"/>
      <c r="B81" s="25"/>
      <c r="C81" s="24">
        <v>41852</v>
      </c>
      <c r="D81" s="23" t="s">
        <v>69</v>
      </c>
      <c r="E81" s="64" t="str">
        <f>IFERROR(IF(D81=計算シート!$B$7,"○",""),"")</f>
        <v/>
      </c>
      <c r="F81" s="23" t="s">
        <v>180</v>
      </c>
      <c r="G81" s="64" t="str">
        <f>IFERROR(IF(計算シート!$B$11&gt;15640,"○",""),"")</f>
        <v/>
      </c>
      <c r="H81" s="23" t="s">
        <v>187</v>
      </c>
      <c r="I81" s="64" t="str">
        <f t="shared" si="5"/>
        <v/>
      </c>
      <c r="J81" s="64">
        <v>7820</v>
      </c>
      <c r="K81" s="64" t="str">
        <f>IF(AND(計算シート!$E$3='計算式あて（再計算後）'!C81,E81="○",G81="○",I81="○"),"★","")</f>
        <v/>
      </c>
      <c r="L81" s="66" t="str">
        <f>IF(AND(計算シート!$E$5='計算式あて（再計算後）'!C81,E81="○",G81="○",I81="○"),"◆","")</f>
        <v/>
      </c>
      <c r="M81" s="23">
        <v>0.01</v>
      </c>
    </row>
    <row r="82" spans="1:13">
      <c r="A82" s="25"/>
      <c r="B82" s="25"/>
      <c r="C82" s="24">
        <v>41852</v>
      </c>
      <c r="D82" s="23" t="s">
        <v>70</v>
      </c>
      <c r="E82" s="64" t="str">
        <f>IFERROR(IF(D82=計算シート!$B$7,"○",""),"")</f>
        <v/>
      </c>
      <c r="F82" s="23" t="s">
        <v>177</v>
      </c>
      <c r="G82" s="64" t="str">
        <f>IFERROR(IF(AND(計算シート!$B$11&gt;=2310,計算シート!$B$11&lt;4610),"○",""),"")</f>
        <v/>
      </c>
      <c r="H82" s="23" t="s">
        <v>80</v>
      </c>
      <c r="I82" s="64" t="str">
        <f t="shared" si="5"/>
        <v/>
      </c>
      <c r="J82" s="64">
        <f>ROUNDDOWN(計算シート!$B$11*0.8,0)</f>
        <v>0</v>
      </c>
      <c r="K82" s="64" t="str">
        <f>IF(AND(計算シート!$E$3='計算式あて（再計算後）'!C82,E82="○",G82="○",I82="○"),"★","")</f>
        <v/>
      </c>
      <c r="L82" s="66" t="str">
        <f>IF(AND(計算シート!$E$5='計算式あて（再計算後）'!C82,E82="○",G82="○",I82="○"),"◆","")</f>
        <v/>
      </c>
      <c r="M82" s="23">
        <v>0.01</v>
      </c>
    </row>
    <row r="83" spans="1:13">
      <c r="A83" s="25"/>
      <c r="B83" s="25"/>
      <c r="C83" s="24">
        <v>41852</v>
      </c>
      <c r="D83" s="23" t="s">
        <v>70</v>
      </c>
      <c r="E83" s="64" t="str">
        <f>IFERROR(IF(D83=計算シート!$B$7,"○",""),"")</f>
        <v/>
      </c>
      <c r="F83" s="23" t="s">
        <v>472</v>
      </c>
      <c r="G83" s="64" t="str">
        <f>IFERROR(IF(AND(計算シート!$B$11&gt;=4610,計算シート!$B$11&lt;=10510),"○",""),"")</f>
        <v/>
      </c>
      <c r="H83" s="23" t="s">
        <v>181</v>
      </c>
      <c r="I83" s="64" t="str">
        <f>IFERROR(IF(J83&lt;J84,"○",""),"")</f>
        <v>○</v>
      </c>
      <c r="J83" s="64">
        <f>ROUNDDOWN(0.8*計算シート!$B$11-0.35*((計算シート!$B$11-4610)/(10510-4610))*計算シート!$B$11,0)</f>
        <v>0</v>
      </c>
      <c r="K83" s="64" t="str">
        <f>IF(AND(計算シート!$E$3='計算式あて（再計算後）'!C83,E83="○",G83="○",I83="○"),"★","")</f>
        <v/>
      </c>
      <c r="L83" s="66" t="str">
        <f>IF(AND(計算シート!$E$5='計算式あて（再計算後）'!C83,E83="○",G83="○",I83="○"),"◆","")</f>
        <v/>
      </c>
      <c r="M83" s="23">
        <v>0.01</v>
      </c>
    </row>
    <row r="84" spans="1:13">
      <c r="A84" s="25"/>
      <c r="B84" s="25"/>
      <c r="C84" s="24">
        <v>41852</v>
      </c>
      <c r="D84" s="23" t="s">
        <v>70</v>
      </c>
      <c r="E84" s="64" t="str">
        <f>IFERROR(IF(D84=計算シート!$B$7,"○",""),"")</f>
        <v/>
      </c>
      <c r="F84" s="23" t="s">
        <v>472</v>
      </c>
      <c r="G84" s="64" t="str">
        <f>IFERROR(IF(AND(計算シート!$B$11&gt;=4610,計算シート!$B$11&lt;=10510),"○",""),"")</f>
        <v/>
      </c>
      <c r="H84" s="23" t="s">
        <v>182</v>
      </c>
      <c r="I84" s="64" t="str">
        <f>IFERROR(IF(J84&lt;J83,"○",""),"")</f>
        <v/>
      </c>
      <c r="J84" s="64">
        <f>ROUNDDOWN(計算シート!$B$11*0.05+(10510*0.4),0)</f>
        <v>4204</v>
      </c>
      <c r="K84" s="64" t="str">
        <f>IF(AND(計算シート!$E$3='計算式あて（再計算後）'!C84,E84="○",G84="○",I84="○"),"★","")</f>
        <v/>
      </c>
      <c r="L84" s="66" t="str">
        <f>IF(AND(計算シート!$E$5='計算式あて（再計算後）'!C84,E84="○",G84="○",I84="○"),"◆","")</f>
        <v/>
      </c>
      <c r="M84" s="23">
        <v>0.01</v>
      </c>
    </row>
    <row r="85" spans="1:13">
      <c r="A85" s="25"/>
      <c r="B85" s="25"/>
      <c r="C85" s="24">
        <v>41852</v>
      </c>
      <c r="D85" s="23" t="s">
        <v>70</v>
      </c>
      <c r="E85" s="64" t="str">
        <f>IFERROR(IF(D85=計算シート!$B$7,"○",""),"")</f>
        <v/>
      </c>
      <c r="F85" s="23" t="s">
        <v>183</v>
      </c>
      <c r="G85" s="64" t="str">
        <f>IFERROR(IF(AND(計算シート!$B$11&gt;10510,計算シート!$B$11&lt;=14940),"○",""),"")</f>
        <v/>
      </c>
      <c r="H85" s="23" t="s">
        <v>84</v>
      </c>
      <c r="I85" s="64" t="str">
        <f t="shared" ref="I85:I86" si="6">G85</f>
        <v/>
      </c>
      <c r="J85" s="64">
        <f>ROUNDDOWN(計算シート!$B$11*0.45,0)</f>
        <v>0</v>
      </c>
      <c r="K85" s="64" t="str">
        <f>IF(AND(計算シート!$E$3='計算式あて（再計算後）'!C85,E85="○",G85="○",I85="○"),"★","")</f>
        <v/>
      </c>
      <c r="L85" s="66" t="str">
        <f>IF(AND(計算シート!$E$5='計算式あて（再計算後）'!C85,E85="○",G85="○",I85="○"),"◆","")</f>
        <v/>
      </c>
      <c r="M85" s="23">
        <v>0.01</v>
      </c>
    </row>
    <row r="86" spans="1:13">
      <c r="A86" s="27"/>
      <c r="B86" s="28"/>
      <c r="C86" s="24">
        <v>41852</v>
      </c>
      <c r="D86" s="23" t="s">
        <v>70</v>
      </c>
      <c r="E86" s="64" t="str">
        <f>IFERROR(IF(D86=計算シート!$B$7,"○",""),"")</f>
        <v/>
      </c>
      <c r="F86" s="23" t="s">
        <v>184</v>
      </c>
      <c r="G86" s="64" t="str">
        <f>IFERROR(IF(計算シート!$B$11&gt;14940,"○",""),"")</f>
        <v/>
      </c>
      <c r="H86" s="23" t="s">
        <v>188</v>
      </c>
      <c r="I86" s="64" t="str">
        <f t="shared" si="6"/>
        <v/>
      </c>
      <c r="J86" s="64">
        <v>6723</v>
      </c>
      <c r="K86" s="64" t="str">
        <f>IF(AND(計算シート!$E$3='計算式あて（再計算後）'!C86,E86="○",G86="○",I86="○"),"★","")</f>
        <v/>
      </c>
      <c r="L86" s="66" t="str">
        <f>IF(AND(計算シート!$E$5='計算式あて（再計算後）'!C86,E86="○",G86="○",I86="○"),"◆","")</f>
        <v/>
      </c>
      <c r="M86" s="23">
        <v>0.01</v>
      </c>
    </row>
    <row r="87" spans="1:13" ht="27">
      <c r="A87" s="25"/>
      <c r="B87" s="26" t="s">
        <v>303</v>
      </c>
      <c r="C87" s="24">
        <v>41487</v>
      </c>
      <c r="D87" s="23" t="s">
        <v>67</v>
      </c>
      <c r="E87" s="64" t="str">
        <f>IFERROR(IF(D87=計算シート!$B$7,"○",""),"")</f>
        <v/>
      </c>
      <c r="F87" s="23" t="s">
        <v>177</v>
      </c>
      <c r="G87" s="64" t="str">
        <f>IFERROR(IF(AND(計算シート!$B$11&gt;=2310,計算シート!$B$11&lt;4610),"○",""),"")</f>
        <v/>
      </c>
      <c r="H87" s="23" t="s">
        <v>80</v>
      </c>
      <c r="I87" s="64" t="str">
        <f>G87</f>
        <v/>
      </c>
      <c r="J87" s="64">
        <f>ROUNDDOWN(計算シート!$B$11*0.8,0)</f>
        <v>0</v>
      </c>
      <c r="K87" s="64" t="str">
        <f>IF(AND(計算シート!$E$3='計算式あて（再計算後）'!C87,E87="○",G87="○",I87="○"),"★","")</f>
        <v/>
      </c>
      <c r="L87" s="66" t="str">
        <f>IF(AND(計算シート!$E$5='計算式あて（再計算後）'!C87,E87="○",G87="○",I87="○"),"◆","")</f>
        <v/>
      </c>
      <c r="M87" s="23">
        <v>0.02</v>
      </c>
    </row>
    <row r="88" spans="1:13">
      <c r="A88" s="25"/>
      <c r="B88" s="25"/>
      <c r="C88" s="24">
        <v>41487</v>
      </c>
      <c r="D88" s="23" t="s">
        <v>67</v>
      </c>
      <c r="E88" s="64" t="str">
        <f>IFERROR(IF(D88=計算シート!$B$7,"○",""),"")</f>
        <v/>
      </c>
      <c r="F88" s="23" t="s">
        <v>468</v>
      </c>
      <c r="G88" s="64" t="str">
        <f>IFERROR(IF(AND(計算シート!$B$11&gt;=4610,計算シート!$B$11&lt;=11690),"○",""),"")</f>
        <v/>
      </c>
      <c r="H88" s="23" t="s">
        <v>178</v>
      </c>
      <c r="I88" s="64" t="str">
        <f t="shared" ref="I88:I99" si="7">G88</f>
        <v/>
      </c>
      <c r="J88" s="64">
        <f>ROUNDDOWN(0.8*計算シート!$B$11-0.3*((計算シート!$B$11-4610)/(11690-4610))*計算シート!$B$11,0)</f>
        <v>0</v>
      </c>
      <c r="K88" s="64" t="str">
        <f>IF(AND(計算シート!$E$3='計算式あて（再計算後）'!C88,E88="○",G88="○",I88="○"),"★","")</f>
        <v/>
      </c>
      <c r="L88" s="66" t="str">
        <f>IF(AND(計算シート!$E$5='計算式あて（再計算後）'!C88,E88="○",G88="○",I88="○"),"◆","")</f>
        <v/>
      </c>
      <c r="M88" s="23">
        <v>0.02</v>
      </c>
    </row>
    <row r="89" spans="1:13">
      <c r="A89" s="25"/>
      <c r="B89" s="25"/>
      <c r="C89" s="24">
        <v>41487</v>
      </c>
      <c r="D89" s="23" t="s">
        <v>67</v>
      </c>
      <c r="E89" s="64" t="str">
        <f>IFERROR(IF(D89=計算シート!$B$7,"○",""),"")</f>
        <v/>
      </c>
      <c r="F89" s="23" t="s">
        <v>469</v>
      </c>
      <c r="G89" s="64" t="str">
        <f>IFERROR(IF(AND(計算シート!$B$11&gt;11690,計算シート!$B$11&lt;=12810),"○",""),"")</f>
        <v/>
      </c>
      <c r="H89" s="23" t="s">
        <v>82</v>
      </c>
      <c r="I89" s="64" t="str">
        <f t="shared" si="7"/>
        <v/>
      </c>
      <c r="J89" s="64">
        <f>ROUNDDOWN(計算シート!$B$11*0.5,0)</f>
        <v>0</v>
      </c>
      <c r="K89" s="64" t="str">
        <f>IF(AND(計算シート!$E$3='計算式あて（再計算後）'!C89,E89="○",G89="○",I89="○"),"★","")</f>
        <v/>
      </c>
      <c r="L89" s="66" t="str">
        <f>IF(AND(計算シート!$E$5='計算式あて（再計算後）'!C89,E89="○",G89="○",I89="○"),"◆","")</f>
        <v/>
      </c>
      <c r="M89" s="23">
        <v>0.02</v>
      </c>
    </row>
    <row r="90" spans="1:13">
      <c r="A90" s="25"/>
      <c r="B90" s="25"/>
      <c r="C90" s="24">
        <v>41487</v>
      </c>
      <c r="D90" s="23" t="s">
        <v>67</v>
      </c>
      <c r="E90" s="64" t="str">
        <f>IFERROR(IF(D90=計算シート!$B$7,"○",""),"")</f>
        <v/>
      </c>
      <c r="F90" s="23" t="s">
        <v>185</v>
      </c>
      <c r="G90" s="64" t="str">
        <f>IFERROR(IF(計算シート!$B$11&gt;12810,"○",""),"")</f>
        <v/>
      </c>
      <c r="H90" s="23" t="s">
        <v>189</v>
      </c>
      <c r="I90" s="64" t="str">
        <f t="shared" si="7"/>
        <v/>
      </c>
      <c r="J90" s="64">
        <v>6405</v>
      </c>
      <c r="K90" s="64" t="str">
        <f>IF(AND(計算シート!$E$3='計算式あて（再計算後）'!C90,E90="○",G90="○",I90="○"),"★","")</f>
        <v/>
      </c>
      <c r="L90" s="66" t="str">
        <f>IF(AND(計算シート!$E$5='計算式あて（再計算後）'!C90,E90="○",G90="○",I90="○"),"◆","")</f>
        <v/>
      </c>
      <c r="M90" s="23">
        <v>0.02</v>
      </c>
    </row>
    <row r="91" spans="1:13">
      <c r="A91" s="25"/>
      <c r="B91" s="25"/>
      <c r="C91" s="24">
        <v>41487</v>
      </c>
      <c r="D91" s="23" t="s">
        <v>68</v>
      </c>
      <c r="E91" s="64" t="str">
        <f>IFERROR(IF(D91=計算シート!$B$7,"○",""),"")</f>
        <v/>
      </c>
      <c r="F91" s="23" t="s">
        <v>177</v>
      </c>
      <c r="G91" s="64" t="str">
        <f>IFERROR(IF(AND(計算シート!$B$11&gt;=2310,計算シート!$B$11&lt;4610),"○",""),"")</f>
        <v/>
      </c>
      <c r="H91" s="23" t="s">
        <v>80</v>
      </c>
      <c r="I91" s="64" t="str">
        <f t="shared" si="7"/>
        <v/>
      </c>
      <c r="J91" s="64">
        <f>ROUNDDOWN(計算シート!$B$11*0.8,0)</f>
        <v>0</v>
      </c>
      <c r="K91" s="64" t="str">
        <f>IF(AND(計算シート!$E$3='計算式あて（再計算後）'!C91,E91="○",G91="○",I91="○"),"★","")</f>
        <v/>
      </c>
      <c r="L91" s="66" t="str">
        <f>IF(AND(計算シート!$E$5='計算式あて（再計算後）'!C91,E91="○",G91="○",I91="○"),"◆","")</f>
        <v/>
      </c>
      <c r="M91" s="23">
        <v>0.02</v>
      </c>
    </row>
    <row r="92" spans="1:13">
      <c r="A92" s="25"/>
      <c r="B92" s="25"/>
      <c r="C92" s="24">
        <v>41487</v>
      </c>
      <c r="D92" s="23" t="s">
        <v>68</v>
      </c>
      <c r="E92" s="64" t="str">
        <f>IFERROR(IF(D92=計算シート!$B$7,"○",""),"")</f>
        <v/>
      </c>
      <c r="F92" s="23" t="s">
        <v>468</v>
      </c>
      <c r="G92" s="64" t="str">
        <f>IFERROR(IF(AND(計算シート!$B$11&gt;=4610,計算シート!$B$11&lt;=11690),"○",""),"")</f>
        <v/>
      </c>
      <c r="H92" s="23" t="s">
        <v>178</v>
      </c>
      <c r="I92" s="64" t="str">
        <f t="shared" si="7"/>
        <v/>
      </c>
      <c r="J92" s="64">
        <f>ROUNDDOWN(0.8*計算シート!$B$11-0.3*((計算シート!$B$11-4610)/(11690-4610))*計算シート!$B$11,0)</f>
        <v>0</v>
      </c>
      <c r="K92" s="64" t="str">
        <f>IF(AND(計算シート!$E$3='計算式あて（再計算後）'!C92,E92="○",G92="○",I92="○"),"★","")</f>
        <v/>
      </c>
      <c r="L92" s="66" t="str">
        <f>IF(AND(計算シート!$E$5='計算式あて（再計算後）'!C92,E92="○",G92="○",I92="○"),"◆","")</f>
        <v/>
      </c>
      <c r="M92" s="23">
        <v>0.02</v>
      </c>
    </row>
    <row r="93" spans="1:13">
      <c r="A93" s="25"/>
      <c r="B93" s="25"/>
      <c r="C93" s="24">
        <v>41487</v>
      </c>
      <c r="D93" s="23" t="s">
        <v>68</v>
      </c>
      <c r="E93" s="64" t="str">
        <f>IFERROR(IF(D93=計算シート!$B$7,"○",""),"")</f>
        <v/>
      </c>
      <c r="F93" s="23" t="s">
        <v>473</v>
      </c>
      <c r="G93" s="64" t="str">
        <f>IFERROR(IF(AND(計算シート!$B$11&gt;11690,計算シート!$B$11&lt;=14230),"○",""),"")</f>
        <v/>
      </c>
      <c r="H93" s="23" t="s">
        <v>82</v>
      </c>
      <c r="I93" s="64" t="str">
        <f t="shared" si="7"/>
        <v/>
      </c>
      <c r="J93" s="64">
        <f>ROUNDDOWN(計算シート!$B$11*0.5,0)</f>
        <v>0</v>
      </c>
      <c r="K93" s="64" t="str">
        <f>IF(AND(計算シート!$E$3='計算式あて（再計算後）'!C93,E93="○",G93="○",I93="○"),"★","")</f>
        <v/>
      </c>
      <c r="L93" s="66" t="str">
        <f>IF(AND(計算シート!$E$5='計算式あて（再計算後）'!C93,E93="○",G93="○",I93="○"),"◆","")</f>
        <v/>
      </c>
      <c r="M93" s="23">
        <v>0.02</v>
      </c>
    </row>
    <row r="94" spans="1:13">
      <c r="A94" s="25"/>
      <c r="B94" s="25"/>
      <c r="C94" s="24">
        <v>41487</v>
      </c>
      <c r="D94" s="23" t="s">
        <v>68</v>
      </c>
      <c r="E94" s="64" t="str">
        <f>IFERROR(IF(D94=計算シート!$B$7,"○",""),"")</f>
        <v/>
      </c>
      <c r="F94" s="23" t="s">
        <v>190</v>
      </c>
      <c r="G94" s="64" t="str">
        <f>IFERROR(IF(計算シート!$B$11&gt;14230,"○",""),"")</f>
        <v/>
      </c>
      <c r="H94" s="23" t="s">
        <v>193</v>
      </c>
      <c r="I94" s="64" t="str">
        <f t="shared" si="7"/>
        <v/>
      </c>
      <c r="J94" s="64">
        <v>7115</v>
      </c>
      <c r="K94" s="64" t="str">
        <f>IF(AND(計算シート!$E$3='計算式あて（再計算後）'!C94,E94="○",G94="○",I94="○"),"★","")</f>
        <v/>
      </c>
      <c r="L94" s="66" t="str">
        <f>IF(AND(計算シート!$E$5='計算式あて（再計算後）'!C94,E94="○",G94="○",I94="○"),"◆","")</f>
        <v/>
      </c>
      <c r="M94" s="23">
        <v>0.02</v>
      </c>
    </row>
    <row r="95" spans="1:13">
      <c r="A95" s="25"/>
      <c r="B95" s="25"/>
      <c r="C95" s="24">
        <v>41487</v>
      </c>
      <c r="D95" s="23" t="s">
        <v>69</v>
      </c>
      <c r="E95" s="64" t="str">
        <f>IFERROR(IF(D95=計算シート!$B$7,"○",""),"")</f>
        <v/>
      </c>
      <c r="F95" s="23" t="s">
        <v>177</v>
      </c>
      <c r="G95" s="64" t="str">
        <f>IFERROR(IF(AND(計算シート!$B$11&gt;=2310,計算シート!$B$11&lt;4610),"○",""),"")</f>
        <v/>
      </c>
      <c r="H95" s="23" t="s">
        <v>80</v>
      </c>
      <c r="I95" s="64" t="str">
        <f t="shared" si="7"/>
        <v/>
      </c>
      <c r="J95" s="64">
        <f>ROUNDDOWN(計算シート!$B$11*0.8,0)</f>
        <v>0</v>
      </c>
      <c r="K95" s="64" t="str">
        <f>IF(AND(計算シート!$E$3='計算式あて（再計算後）'!C95,E95="○",G95="○",I95="○"),"★","")</f>
        <v/>
      </c>
      <c r="L95" s="66" t="str">
        <f>IF(AND(計算シート!$E$5='計算式あて（再計算後）'!C95,E95="○",G95="○",I95="○"),"◆","")</f>
        <v/>
      </c>
      <c r="M95" s="23">
        <v>0.02</v>
      </c>
    </row>
    <row r="96" spans="1:13">
      <c r="A96" s="25"/>
      <c r="B96" s="25"/>
      <c r="C96" s="24">
        <v>41487</v>
      </c>
      <c r="D96" s="23" t="s">
        <v>69</v>
      </c>
      <c r="E96" s="64" t="str">
        <f>IFERROR(IF(D96=計算シート!$B$7,"○",""),"")</f>
        <v/>
      </c>
      <c r="F96" s="23" t="s">
        <v>468</v>
      </c>
      <c r="G96" s="64" t="str">
        <f>IFERROR(IF(AND(計算シート!$B$11&gt;=4610,計算シート!$B$11&lt;=11690),"○",""),"")</f>
        <v/>
      </c>
      <c r="H96" s="23" t="s">
        <v>178</v>
      </c>
      <c r="I96" s="64" t="str">
        <f t="shared" si="7"/>
        <v/>
      </c>
      <c r="J96" s="64">
        <f>ROUNDDOWN(0.8*計算シート!$B$11-0.3*((計算シート!$B$11-4610)/(11690-4610))*計算シート!$B$11,0)</f>
        <v>0</v>
      </c>
      <c r="K96" s="64" t="str">
        <f>IF(AND(計算シート!$E$3='計算式あて（再計算後）'!C96,E96="○",G96="○",I96="○"),"★","")</f>
        <v/>
      </c>
      <c r="L96" s="66" t="str">
        <f>IF(AND(計算シート!$E$5='計算式あて（再計算後）'!C96,E96="○",G96="○",I96="○"),"◆","")</f>
        <v/>
      </c>
      <c r="M96" s="23">
        <v>0.02</v>
      </c>
    </row>
    <row r="97" spans="1:13">
      <c r="A97" s="25"/>
      <c r="B97" s="25"/>
      <c r="C97" s="24">
        <v>41487</v>
      </c>
      <c r="D97" s="23" t="s">
        <v>69</v>
      </c>
      <c r="E97" s="64" t="str">
        <f>IFERROR(IF(D97=計算シート!$B$7,"○",""),"")</f>
        <v/>
      </c>
      <c r="F97" s="23" t="s">
        <v>474</v>
      </c>
      <c r="G97" s="64" t="str">
        <f>IFERROR(IF(AND(計算シート!$B$11&gt;11690,計算シート!$B$11&lt;=15650),"○",""),"")</f>
        <v/>
      </c>
      <c r="H97" s="23" t="s">
        <v>82</v>
      </c>
      <c r="I97" s="64" t="str">
        <f t="shared" si="7"/>
        <v/>
      </c>
      <c r="J97" s="64">
        <f>ROUNDDOWN(計算シート!$B$11*0.5,0)</f>
        <v>0</v>
      </c>
      <c r="K97" s="64" t="str">
        <f>IF(AND(計算シート!$E$3='計算式あて（再計算後）'!C97,E97="○",G97="○",I97="○"),"★","")</f>
        <v/>
      </c>
      <c r="L97" s="66" t="str">
        <f>IF(AND(計算シート!$E$5='計算式あて（再計算後）'!C97,E97="○",G97="○",I97="○"),"◆","")</f>
        <v/>
      </c>
      <c r="M97" s="23">
        <v>0.02</v>
      </c>
    </row>
    <row r="98" spans="1:13">
      <c r="A98" s="25"/>
      <c r="B98" s="25"/>
      <c r="C98" s="24">
        <v>41487</v>
      </c>
      <c r="D98" s="23" t="s">
        <v>69</v>
      </c>
      <c r="E98" s="64" t="str">
        <f>IFERROR(IF(D98=計算シート!$B$7,"○",""),"")</f>
        <v/>
      </c>
      <c r="F98" s="23" t="s">
        <v>142</v>
      </c>
      <c r="G98" s="64" t="str">
        <f>IFERROR(IF(計算シート!$B$11&gt;15650,"○",""),"")</f>
        <v/>
      </c>
      <c r="H98" s="23" t="s">
        <v>194</v>
      </c>
      <c r="I98" s="64" t="str">
        <f t="shared" si="7"/>
        <v/>
      </c>
      <c r="J98" s="64">
        <v>7825</v>
      </c>
      <c r="K98" s="64" t="str">
        <f>IF(AND(計算シート!$E$3='計算式あて（再計算後）'!C98,E98="○",G98="○",I98="○"),"★","")</f>
        <v/>
      </c>
      <c r="L98" s="66" t="str">
        <f>IF(AND(計算シート!$E$5='計算式あて（再計算後）'!C98,E98="○",G98="○",I98="○"),"◆","")</f>
        <v/>
      </c>
      <c r="M98" s="23">
        <v>0.02</v>
      </c>
    </row>
    <row r="99" spans="1:13">
      <c r="A99" s="25"/>
      <c r="B99" s="25"/>
      <c r="C99" s="24">
        <v>41487</v>
      </c>
      <c r="D99" s="23" t="s">
        <v>70</v>
      </c>
      <c r="E99" s="64" t="str">
        <f>IFERROR(IF(D99=計算シート!$B$7,"○",""),"")</f>
        <v/>
      </c>
      <c r="F99" s="23" t="s">
        <v>177</v>
      </c>
      <c r="G99" s="64" t="str">
        <f>IFERROR(IF(AND(計算シート!$B$11&gt;=2310,計算シート!$B$11&lt;4610),"○",""),"")</f>
        <v/>
      </c>
      <c r="H99" s="23" t="s">
        <v>80</v>
      </c>
      <c r="I99" s="64" t="str">
        <f t="shared" si="7"/>
        <v/>
      </c>
      <c r="J99" s="64">
        <f>ROUNDDOWN(計算シート!$B$11*0.8,0)</f>
        <v>0</v>
      </c>
      <c r="K99" s="64" t="str">
        <f>IF(AND(計算シート!$E$3='計算式あて（再計算後）'!C99,E99="○",G99="○",I99="○"),"★","")</f>
        <v/>
      </c>
      <c r="L99" s="66" t="str">
        <f>IF(AND(計算シート!$E$5='計算式あて（再計算後）'!C99,E99="○",G99="○",I99="○"),"◆","")</f>
        <v/>
      </c>
      <c r="M99" s="23">
        <v>0.02</v>
      </c>
    </row>
    <row r="100" spans="1:13">
      <c r="A100" s="25"/>
      <c r="B100" s="25"/>
      <c r="C100" s="24">
        <v>41487</v>
      </c>
      <c r="D100" s="23" t="s">
        <v>70</v>
      </c>
      <c r="E100" s="64" t="str">
        <f>IFERROR(IF(D100=計算シート!$B$7,"○",""),"")</f>
        <v/>
      </c>
      <c r="F100" s="23" t="s">
        <v>472</v>
      </c>
      <c r="G100" s="64" t="str">
        <f>IFERROR(IF(AND(計算シート!$B$11&gt;=4610,計算シート!$B$11&lt;=10510),"○",""),"")</f>
        <v/>
      </c>
      <c r="H100" s="23" t="s">
        <v>181</v>
      </c>
      <c r="I100" s="64" t="str">
        <f>IFERROR(IF(J100&lt;J101,"○",""),"")</f>
        <v>○</v>
      </c>
      <c r="J100" s="64">
        <f>ROUNDDOWN(0.8*計算シート!$B$11-0.35*((計算シート!$B$11-4610)/(10510-4610))*計算シート!$B$11,0)</f>
        <v>0</v>
      </c>
      <c r="K100" s="64" t="str">
        <f>IF(AND(計算シート!$E$3='計算式あて（再計算後）'!C100,E100="○",G100="○",I100="○"),"★","")</f>
        <v/>
      </c>
      <c r="L100" s="66" t="str">
        <f>IF(AND(計算シート!$E$5='計算式あて（再計算後）'!C100,E100="○",G100="○",I100="○"),"◆","")</f>
        <v/>
      </c>
      <c r="M100" s="23">
        <v>0.02</v>
      </c>
    </row>
    <row r="101" spans="1:13">
      <c r="A101" s="25"/>
      <c r="B101" s="25"/>
      <c r="C101" s="24">
        <v>41487</v>
      </c>
      <c r="D101" s="23" t="s">
        <v>70</v>
      </c>
      <c r="E101" s="64" t="str">
        <f>IFERROR(IF(D101=計算シート!$B$7,"○",""),"")</f>
        <v/>
      </c>
      <c r="F101" s="23" t="s">
        <v>472</v>
      </c>
      <c r="G101" s="64" t="str">
        <f>IFERROR(IF(AND(計算シート!$B$11&gt;=4610,計算シート!$B$11&lt;=10510),"○",""),"")</f>
        <v/>
      </c>
      <c r="H101" s="23" t="s">
        <v>182</v>
      </c>
      <c r="I101" s="64" t="str">
        <f>IFERROR(IF(J101&lt;J100,"○",""),"")</f>
        <v/>
      </c>
      <c r="J101" s="64">
        <f>ROUNDDOWN(計算シート!$B$11*0.05+(10510*0.4),0)</f>
        <v>4204</v>
      </c>
      <c r="K101" s="64" t="str">
        <f>IF(AND(計算シート!$E$3='計算式あて（再計算後）'!C101,E101="○",G101="○",I101="○"),"★","")</f>
        <v/>
      </c>
      <c r="L101" s="66" t="str">
        <f>IF(AND(計算シート!$E$5='計算式あて（再計算後）'!C101,E101="○",G101="○",I101="○"),"◆","")</f>
        <v/>
      </c>
      <c r="M101" s="23">
        <v>0.02</v>
      </c>
    </row>
    <row r="102" spans="1:13">
      <c r="A102" s="25"/>
      <c r="B102" s="25"/>
      <c r="C102" s="24">
        <v>41487</v>
      </c>
      <c r="D102" s="23" t="s">
        <v>70</v>
      </c>
      <c r="E102" s="64" t="str">
        <f>IFERROR(IF(D102=計算シート!$B$7,"○",""),"")</f>
        <v/>
      </c>
      <c r="F102" s="23" t="s">
        <v>191</v>
      </c>
      <c r="G102" s="64" t="str">
        <f>IFERROR(IF(AND(計算シート!$B$11&gt;10510,計算シート!$B$11&lt;=14950),"○",""),"")</f>
        <v/>
      </c>
      <c r="H102" s="23" t="s">
        <v>84</v>
      </c>
      <c r="I102" s="64" t="str">
        <f t="shared" ref="I102:I103" si="8">G102</f>
        <v/>
      </c>
      <c r="J102" s="64">
        <f>ROUNDDOWN(計算シート!$B$11*0.45,0)</f>
        <v>0</v>
      </c>
      <c r="K102" s="64" t="str">
        <f>IF(AND(計算シート!$E$3='計算式あて（再計算後）'!C102,E102="○",G102="○",I102="○"),"★","")</f>
        <v/>
      </c>
      <c r="L102" s="66" t="str">
        <f>IF(AND(計算シート!$E$5='計算式あて（再計算後）'!C102,E102="○",G102="○",I102="○"),"◆","")</f>
        <v/>
      </c>
      <c r="M102" s="23">
        <v>0.02</v>
      </c>
    </row>
    <row r="103" spans="1:13">
      <c r="A103" s="27"/>
      <c r="B103" s="28"/>
      <c r="C103" s="24">
        <v>41487</v>
      </c>
      <c r="D103" s="23" t="s">
        <v>70</v>
      </c>
      <c r="E103" s="64" t="str">
        <f>IFERROR(IF(D103=計算シート!$B$7,"○",""),"")</f>
        <v/>
      </c>
      <c r="F103" s="23" t="s">
        <v>192</v>
      </c>
      <c r="G103" s="64" t="str">
        <f>IFERROR(IF(計算シート!$B$11&gt;14950,"○",""),"")</f>
        <v/>
      </c>
      <c r="H103" s="23" t="s">
        <v>195</v>
      </c>
      <c r="I103" s="64" t="str">
        <f t="shared" si="8"/>
        <v/>
      </c>
      <c r="J103" s="64">
        <v>6727</v>
      </c>
      <c r="K103" s="64" t="str">
        <f>IF(AND(計算シート!$E$3='計算式あて（再計算後）'!C103,E103="○",G103="○",I103="○"),"★","")</f>
        <v/>
      </c>
      <c r="L103" s="66" t="str">
        <f>IF(AND(計算シート!$E$5='計算式あて（再計算後）'!C103,E103="○",G103="○",I103="○"),"◆","")</f>
        <v/>
      </c>
      <c r="M103" s="23">
        <v>0.02</v>
      </c>
    </row>
    <row r="104" spans="1:13" ht="27">
      <c r="A104" s="25"/>
      <c r="B104" s="26" t="s">
        <v>304</v>
      </c>
      <c r="C104" s="24">
        <v>41122</v>
      </c>
      <c r="D104" s="23" t="s">
        <v>67</v>
      </c>
      <c r="E104" s="64" t="str">
        <f>IFERROR(IF(D104=計算シート!$B$7,"○",""),"")</f>
        <v/>
      </c>
      <c r="F104" s="23" t="s">
        <v>196</v>
      </c>
      <c r="G104" s="64" t="str">
        <f>IFERROR(IF(AND(計算シート!$B$11&gt;=2320,計算シート!$B$11&lt;4640),"○",""),"")</f>
        <v/>
      </c>
      <c r="H104" s="23" t="s">
        <v>80</v>
      </c>
      <c r="I104" s="64" t="str">
        <f>G104</f>
        <v/>
      </c>
      <c r="J104" s="64">
        <f>ROUNDDOWN(計算シート!$B$11*0.8,0)</f>
        <v>0</v>
      </c>
      <c r="K104" s="64" t="str">
        <f>IF(AND(計算シート!$E$3='計算式あて（再計算後）'!C104,E104="○",G104="○",I104="○"),"★","")</f>
        <v/>
      </c>
      <c r="L104" s="66" t="str">
        <f>IF(AND(計算シート!$E$5='計算式あて（再計算後）'!C104,E104="○",G104="○",I104="○"),"◆","")</f>
        <v/>
      </c>
      <c r="M104" s="23">
        <v>0.03</v>
      </c>
    </row>
    <row r="105" spans="1:13">
      <c r="A105" s="25"/>
      <c r="B105" s="25"/>
      <c r="C105" s="24">
        <v>41122</v>
      </c>
      <c r="D105" s="23" t="s">
        <v>67</v>
      </c>
      <c r="E105" s="64" t="str">
        <f>IFERROR(IF(D105=計算シート!$B$7,"○",""),"")</f>
        <v/>
      </c>
      <c r="F105" s="23" t="s">
        <v>475</v>
      </c>
      <c r="G105" s="64" t="str">
        <f>IFERROR(IF(AND(計算シート!$B$11&gt;=4640,計算シート!$B$11&lt;=11750),"○",""),"")</f>
        <v/>
      </c>
      <c r="H105" s="23" t="s">
        <v>197</v>
      </c>
      <c r="I105" s="64" t="str">
        <f t="shared" ref="I105:I116" si="9">G105</f>
        <v/>
      </c>
      <c r="J105" s="64">
        <f>ROUNDDOWN(0.8*計算シート!$B$11-0.3*((計算シート!$B$11-4640)/(11750-4640))*計算シート!$B$11,0)</f>
        <v>0</v>
      </c>
      <c r="K105" s="64" t="str">
        <f>IF(AND(計算シート!$E$3='計算式あて（再計算後）'!C105,E105="○",G105="○",I105="○"),"★","")</f>
        <v/>
      </c>
      <c r="L105" s="66" t="str">
        <f>IF(AND(計算シート!$E$5='計算式あて（再計算後）'!C105,E105="○",G105="○",I105="○"),"◆","")</f>
        <v/>
      </c>
      <c r="M105" s="23">
        <v>0.03</v>
      </c>
    </row>
    <row r="106" spans="1:13">
      <c r="A106" s="25"/>
      <c r="B106" s="25"/>
      <c r="C106" s="24">
        <v>41122</v>
      </c>
      <c r="D106" s="23" t="s">
        <v>67</v>
      </c>
      <c r="E106" s="64" t="str">
        <f>IFERROR(IF(D106=計算シート!$B$7,"○",""),"")</f>
        <v/>
      </c>
      <c r="F106" s="23" t="s">
        <v>476</v>
      </c>
      <c r="G106" s="64" t="str">
        <f>IFERROR(IF(AND(計算シート!$B$11&gt;11750,計算シート!$B$11&lt;=12880),"○",""),"")</f>
        <v/>
      </c>
      <c r="H106" s="23" t="s">
        <v>82</v>
      </c>
      <c r="I106" s="64" t="str">
        <f t="shared" si="9"/>
        <v/>
      </c>
      <c r="J106" s="64">
        <f>ROUNDDOWN(計算シート!$B$11*0.5,0)</f>
        <v>0</v>
      </c>
      <c r="K106" s="64" t="str">
        <f>IF(AND(計算シート!$E$3='計算式あて（再計算後）'!C106,E106="○",G106="○",I106="○"),"★","")</f>
        <v/>
      </c>
      <c r="L106" s="66" t="str">
        <f>IF(AND(計算シート!$E$5='計算式あて（再計算後）'!C106,E106="○",G106="○",I106="○"),"◆","")</f>
        <v/>
      </c>
      <c r="M106" s="23">
        <v>0.03</v>
      </c>
    </row>
    <row r="107" spans="1:13">
      <c r="A107" s="25"/>
      <c r="B107" s="25"/>
      <c r="C107" s="24">
        <v>41122</v>
      </c>
      <c r="D107" s="23" t="s">
        <v>67</v>
      </c>
      <c r="E107" s="64" t="str">
        <f>IFERROR(IF(D107=計算シート!$B$7,"○",""),"")</f>
        <v/>
      </c>
      <c r="F107" s="23" t="s">
        <v>215</v>
      </c>
      <c r="G107" s="64" t="str">
        <f>IFERROR(IF(計算シート!$B$11&gt;12880,"○",""),"")</f>
        <v/>
      </c>
      <c r="H107" s="23" t="s">
        <v>206</v>
      </c>
      <c r="I107" s="64" t="str">
        <f t="shared" si="9"/>
        <v/>
      </c>
      <c r="J107" s="64">
        <v>6440</v>
      </c>
      <c r="K107" s="64" t="str">
        <f>IF(AND(計算シート!$E$3='計算式あて（再計算後）'!C107,E107="○",G107="○",I107="○"),"★","")</f>
        <v/>
      </c>
      <c r="L107" s="66" t="str">
        <f>IF(AND(計算シート!$E$5='計算式あて（再計算後）'!C107,E107="○",G107="○",I107="○"),"◆","")</f>
        <v/>
      </c>
      <c r="M107" s="23">
        <v>0.03</v>
      </c>
    </row>
    <row r="108" spans="1:13">
      <c r="A108" s="25"/>
      <c r="B108" s="25"/>
      <c r="C108" s="24">
        <v>41122</v>
      </c>
      <c r="D108" s="23" t="s">
        <v>68</v>
      </c>
      <c r="E108" s="64" t="str">
        <f>IFERROR(IF(D108=計算シート!$B$7,"○",""),"")</f>
        <v/>
      </c>
      <c r="F108" s="23" t="s">
        <v>196</v>
      </c>
      <c r="G108" s="64" t="str">
        <f>IFERROR(IF(AND(計算シート!$B$11&gt;=2320,計算シート!$B$11&lt;4640),"○",""),"")</f>
        <v/>
      </c>
      <c r="H108" s="23" t="s">
        <v>80</v>
      </c>
      <c r="I108" s="64" t="str">
        <f t="shared" si="9"/>
        <v/>
      </c>
      <c r="J108" s="64">
        <f>ROUNDDOWN(計算シート!$B$11*0.8,0)</f>
        <v>0</v>
      </c>
      <c r="K108" s="64" t="str">
        <f>IF(AND(計算シート!$E$3='計算式あて（再計算後）'!C108,E108="○",G108="○",I108="○"),"★","")</f>
        <v/>
      </c>
      <c r="L108" s="66" t="str">
        <f>IF(AND(計算シート!$E$5='計算式あて（再計算後）'!C108,E108="○",G108="○",I108="○"),"◆","")</f>
        <v/>
      </c>
      <c r="M108" s="23">
        <v>0.03</v>
      </c>
    </row>
    <row r="109" spans="1:13">
      <c r="A109" s="25"/>
      <c r="B109" s="25"/>
      <c r="C109" s="24">
        <v>41122</v>
      </c>
      <c r="D109" s="23" t="s">
        <v>68</v>
      </c>
      <c r="E109" s="64" t="str">
        <f>IFERROR(IF(D109=計算シート!$B$7,"○",""),"")</f>
        <v/>
      </c>
      <c r="F109" s="23" t="s">
        <v>475</v>
      </c>
      <c r="G109" s="64" t="str">
        <f>IFERROR(IF(AND(計算シート!$B$11&gt;=4640,計算シート!$B$11&lt;=11750),"○",""),"")</f>
        <v/>
      </c>
      <c r="H109" s="23" t="s">
        <v>197</v>
      </c>
      <c r="I109" s="64" t="str">
        <f t="shared" si="9"/>
        <v/>
      </c>
      <c r="J109" s="64">
        <f>ROUNDDOWN(0.8*計算シート!$B$11-0.3*((計算シート!$B$11-4640)/(11750-4640))*計算シート!$B$11,0)</f>
        <v>0</v>
      </c>
      <c r="K109" s="64" t="str">
        <f>IF(AND(計算シート!$E$3='計算式あて（再計算後）'!C109,E109="○",G109="○",I109="○"),"★","")</f>
        <v/>
      </c>
      <c r="L109" s="66" t="str">
        <f>IF(AND(計算シート!$E$5='計算式あて（再計算後）'!C109,E109="○",G109="○",I109="○"),"◆","")</f>
        <v/>
      </c>
      <c r="M109" s="23">
        <v>0.03</v>
      </c>
    </row>
    <row r="110" spans="1:13">
      <c r="A110" s="25"/>
      <c r="B110" s="25"/>
      <c r="C110" s="24">
        <v>41122</v>
      </c>
      <c r="D110" s="23" t="s">
        <v>68</v>
      </c>
      <c r="E110" s="64" t="str">
        <f>IFERROR(IF(D110=計算シート!$B$7,"○",""),"")</f>
        <v/>
      </c>
      <c r="F110" s="23" t="s">
        <v>477</v>
      </c>
      <c r="G110" s="64" t="str">
        <f>IFERROR(IF(AND(計算シート!$B$11&gt;11750,計算シート!$B$11&lt;=14310),"○",""),"")</f>
        <v/>
      </c>
      <c r="H110" s="23" t="s">
        <v>82</v>
      </c>
      <c r="I110" s="64" t="str">
        <f t="shared" si="9"/>
        <v/>
      </c>
      <c r="J110" s="64">
        <f>ROUNDDOWN(計算シート!$B$11*0.5,0)</f>
        <v>0</v>
      </c>
      <c r="K110" s="64" t="str">
        <f>IF(AND(計算シート!$E$3='計算式あて（再計算後）'!C110,E110="○",G110="○",I110="○"),"★","")</f>
        <v/>
      </c>
      <c r="L110" s="66" t="str">
        <f>IF(AND(計算シート!$E$5='計算式あて（再計算後）'!C110,E110="○",G110="○",I110="○"),"◆","")</f>
        <v/>
      </c>
      <c r="M110" s="23">
        <v>0.03</v>
      </c>
    </row>
    <row r="111" spans="1:13">
      <c r="A111" s="25"/>
      <c r="B111" s="25"/>
      <c r="C111" s="24">
        <v>41122</v>
      </c>
      <c r="D111" s="23" t="s">
        <v>68</v>
      </c>
      <c r="E111" s="64" t="str">
        <f>IFERROR(IF(D111=計算シート!$B$7,"○",""),"")</f>
        <v/>
      </c>
      <c r="F111" s="23" t="s">
        <v>198</v>
      </c>
      <c r="G111" s="64" t="str">
        <f>IFERROR(IF(計算シート!$B$11&gt;14310,"○",""),"")</f>
        <v/>
      </c>
      <c r="H111" s="23" t="s">
        <v>203</v>
      </c>
      <c r="I111" s="64" t="str">
        <f t="shared" si="9"/>
        <v/>
      </c>
      <c r="J111" s="64">
        <v>7155</v>
      </c>
      <c r="K111" s="64" t="str">
        <f>IF(AND(計算シート!$E$3='計算式あて（再計算後）'!C111,E111="○",G111="○",I111="○"),"★","")</f>
        <v/>
      </c>
      <c r="L111" s="66" t="str">
        <f>IF(AND(計算シート!$E$5='計算式あて（再計算後）'!C111,E111="○",G111="○",I111="○"),"◆","")</f>
        <v/>
      </c>
      <c r="M111" s="23">
        <v>0.03</v>
      </c>
    </row>
    <row r="112" spans="1:13">
      <c r="A112" s="25"/>
      <c r="B112" s="25"/>
      <c r="C112" s="24">
        <v>41122</v>
      </c>
      <c r="D112" s="23" t="s">
        <v>69</v>
      </c>
      <c r="E112" s="64" t="str">
        <f>IFERROR(IF(D112=計算シート!$B$7,"○",""),"")</f>
        <v/>
      </c>
      <c r="F112" s="23" t="s">
        <v>196</v>
      </c>
      <c r="G112" s="64" t="str">
        <f>IFERROR(IF(AND(計算シート!$B$11&gt;=2320,計算シート!$B$11&lt;4640),"○",""),"")</f>
        <v/>
      </c>
      <c r="H112" s="23" t="s">
        <v>80</v>
      </c>
      <c r="I112" s="64" t="str">
        <f t="shared" si="9"/>
        <v/>
      </c>
      <c r="J112" s="64">
        <f>ROUNDDOWN(計算シート!$B$11*0.8,0)</f>
        <v>0</v>
      </c>
      <c r="K112" s="64" t="str">
        <f>IF(AND(計算シート!$E$3='計算式あて（再計算後）'!C112,E112="○",G112="○",I112="○"),"★","")</f>
        <v/>
      </c>
      <c r="L112" s="66" t="str">
        <f>IF(AND(計算シート!$E$5='計算式あて（再計算後）'!C112,E112="○",G112="○",I112="○"),"◆","")</f>
        <v/>
      </c>
      <c r="M112" s="23">
        <v>0.03</v>
      </c>
    </row>
    <row r="113" spans="1:13">
      <c r="A113" s="25"/>
      <c r="B113" s="25"/>
      <c r="C113" s="24">
        <v>41122</v>
      </c>
      <c r="D113" s="23" t="s">
        <v>69</v>
      </c>
      <c r="E113" s="64" t="str">
        <f>IFERROR(IF(D113=計算シート!$B$7,"○",""),"")</f>
        <v/>
      </c>
      <c r="F113" s="23" t="s">
        <v>475</v>
      </c>
      <c r="G113" s="64" t="str">
        <f>IFERROR(IF(AND(計算シート!$B$11&gt;=4640,計算シート!$B$11&lt;=11750),"○",""),"")</f>
        <v/>
      </c>
      <c r="H113" s="23" t="s">
        <v>197</v>
      </c>
      <c r="I113" s="64" t="str">
        <f t="shared" si="9"/>
        <v/>
      </c>
      <c r="J113" s="64">
        <f>ROUNDDOWN(0.8*計算シート!$B$11-0.3*((計算シート!$B$11-4640)/(11750-4640))*計算シート!$B$11,0)</f>
        <v>0</v>
      </c>
      <c r="K113" s="64" t="str">
        <f>IF(AND(計算シート!$E$3='計算式あて（再計算後）'!C113,E113="○",G113="○",I113="○"),"★","")</f>
        <v/>
      </c>
      <c r="L113" s="66" t="str">
        <f>IF(AND(計算シート!$E$5='計算式あて（再計算後）'!C113,E113="○",G113="○",I113="○"),"◆","")</f>
        <v/>
      </c>
      <c r="M113" s="23">
        <v>0.03</v>
      </c>
    </row>
    <row r="114" spans="1:13">
      <c r="A114" s="25"/>
      <c r="B114" s="25"/>
      <c r="C114" s="24">
        <v>41122</v>
      </c>
      <c r="D114" s="23" t="s">
        <v>69</v>
      </c>
      <c r="E114" s="64" t="str">
        <f>IFERROR(IF(D114=計算シート!$B$7,"○",""),"")</f>
        <v/>
      </c>
      <c r="F114" s="23" t="s">
        <v>478</v>
      </c>
      <c r="G114" s="64" t="str">
        <f>IFERROR(IF(AND(計算シート!$B$11&gt;11750,計算シート!$B$11&lt;=15740),"○",""),"")</f>
        <v/>
      </c>
      <c r="H114" s="23" t="s">
        <v>82</v>
      </c>
      <c r="I114" s="64" t="str">
        <f t="shared" si="9"/>
        <v/>
      </c>
      <c r="J114" s="64">
        <f>ROUNDDOWN(計算シート!$B$11*0.5,0)</f>
        <v>0</v>
      </c>
      <c r="K114" s="64" t="str">
        <f>IF(AND(計算シート!$E$3='計算式あて（再計算後）'!C114,E114="○",G114="○",I114="○"),"★","")</f>
        <v/>
      </c>
      <c r="L114" s="66" t="str">
        <f>IF(AND(計算シート!$E$5='計算式あて（再計算後）'!C114,E114="○",G114="○",I114="○"),"◆","")</f>
        <v/>
      </c>
      <c r="M114" s="23">
        <v>0.03</v>
      </c>
    </row>
    <row r="115" spans="1:13">
      <c r="A115" s="25"/>
      <c r="B115" s="25"/>
      <c r="C115" s="24">
        <v>41122</v>
      </c>
      <c r="D115" s="23" t="s">
        <v>69</v>
      </c>
      <c r="E115" s="64" t="str">
        <f>IFERROR(IF(D115=計算シート!$B$7,"○",""),"")</f>
        <v/>
      </c>
      <c r="F115" s="23" t="s">
        <v>135</v>
      </c>
      <c r="G115" s="64" t="str">
        <f>IFERROR(IF(計算シート!$B$11&gt;15740,"○",""),"")</f>
        <v/>
      </c>
      <c r="H115" s="23" t="s">
        <v>204</v>
      </c>
      <c r="I115" s="64" t="str">
        <f t="shared" si="9"/>
        <v/>
      </c>
      <c r="J115" s="64">
        <v>7870</v>
      </c>
      <c r="K115" s="64" t="str">
        <f>IF(AND(計算シート!$E$3='計算式あて（再計算後）'!C115,E115="○",G115="○",I115="○"),"★","")</f>
        <v/>
      </c>
      <c r="L115" s="66" t="str">
        <f>IF(AND(計算シート!$E$5='計算式あて（再計算後）'!C115,E115="○",G115="○",I115="○"),"◆","")</f>
        <v/>
      </c>
      <c r="M115" s="23">
        <v>0.03</v>
      </c>
    </row>
    <row r="116" spans="1:13">
      <c r="A116" s="25"/>
      <c r="B116" s="25"/>
      <c r="C116" s="24">
        <v>41122</v>
      </c>
      <c r="D116" s="23" t="s">
        <v>70</v>
      </c>
      <c r="E116" s="64" t="str">
        <f>IFERROR(IF(D116=計算シート!$B$7,"○",""),"")</f>
        <v/>
      </c>
      <c r="F116" s="23" t="s">
        <v>196</v>
      </c>
      <c r="G116" s="64" t="str">
        <f>IFERROR(IF(AND(計算シート!$B$11&gt;=2320,計算シート!$B$11&lt;4640),"○",""),"")</f>
        <v/>
      </c>
      <c r="H116" s="23" t="s">
        <v>80</v>
      </c>
      <c r="I116" s="64" t="str">
        <f t="shared" si="9"/>
        <v/>
      </c>
      <c r="J116" s="64">
        <f>ROUNDDOWN(計算シート!$B$11*0.8,0)</f>
        <v>0</v>
      </c>
      <c r="K116" s="64" t="str">
        <f>IF(AND(計算シート!$E$3='計算式あて（再計算後）'!C116,E116="○",G116="○",I116="○"),"★","")</f>
        <v/>
      </c>
      <c r="L116" s="66" t="str">
        <f>IF(AND(計算シート!$E$5='計算式あて（再計算後）'!C116,E116="○",G116="○",I116="○"),"◆","")</f>
        <v/>
      </c>
      <c r="M116" s="23">
        <v>0.03</v>
      </c>
    </row>
    <row r="117" spans="1:13">
      <c r="A117" s="25"/>
      <c r="B117" s="25"/>
      <c r="C117" s="24">
        <v>41122</v>
      </c>
      <c r="D117" s="23" t="s">
        <v>70</v>
      </c>
      <c r="E117" s="64" t="str">
        <f>IFERROR(IF(D117=計算シート!$B$7,"○",""),"")</f>
        <v/>
      </c>
      <c r="F117" s="23" t="s">
        <v>479</v>
      </c>
      <c r="G117" s="64" t="str">
        <f>IFERROR(IF(AND(計算シート!$B$11&gt;=4640,計算シート!$B$11&lt;=10570),"○",""),"")</f>
        <v/>
      </c>
      <c r="H117" s="23" t="s">
        <v>200</v>
      </c>
      <c r="I117" s="64" t="str">
        <f>IFERROR(IF(J117&lt;J118,"○",""),"")</f>
        <v>○</v>
      </c>
      <c r="J117" s="64">
        <f>ROUNDDOWN(0.8*計算シート!$B$11-0.35*((計算シート!$B$11-4640)/(10570-4640))*計算シート!$B$11,0)</f>
        <v>0</v>
      </c>
      <c r="K117" s="64" t="str">
        <f>IF(AND(計算シート!$E$3='計算式あて（再計算後）'!C117,E117="○",G117="○",I117="○"),"★","")</f>
        <v/>
      </c>
      <c r="L117" s="66" t="str">
        <f>IF(AND(計算シート!$E$5='計算式あて（再計算後）'!C117,E117="○",G117="○",I117="○"),"◆","")</f>
        <v/>
      </c>
      <c r="M117" s="23">
        <v>0.03</v>
      </c>
    </row>
    <row r="118" spans="1:13">
      <c r="A118" s="25"/>
      <c r="B118" s="25"/>
      <c r="C118" s="24">
        <v>41122</v>
      </c>
      <c r="D118" s="23" t="s">
        <v>70</v>
      </c>
      <c r="E118" s="64" t="str">
        <f>IFERROR(IF(D118=計算シート!$B$7,"○",""),"")</f>
        <v/>
      </c>
      <c r="F118" s="23" t="s">
        <v>479</v>
      </c>
      <c r="G118" s="64" t="str">
        <f>IFERROR(IF(AND(計算シート!$B$11&gt;=4640,計算シート!$B$11&lt;=10570),"○",""),"")</f>
        <v/>
      </c>
      <c r="H118" s="23" t="s">
        <v>201</v>
      </c>
      <c r="I118" s="64" t="str">
        <f>IFERROR(IF(J118&lt;J117,"○",""),"")</f>
        <v/>
      </c>
      <c r="J118" s="64">
        <f>ROUNDDOWN(計算シート!$B$11*0.05+(10570*0.4),0)</f>
        <v>4228</v>
      </c>
      <c r="K118" s="64" t="str">
        <f>IF(AND(計算シート!$E$3='計算式あて（再計算後）'!C118,E118="○",G118="○",I118="○"),"★","")</f>
        <v/>
      </c>
      <c r="L118" s="66" t="str">
        <f>IF(AND(計算シート!$E$5='計算式あて（再計算後）'!C118,E118="○",G118="○",I118="○"),"◆","")</f>
        <v/>
      </c>
      <c r="M118" s="23">
        <v>0.03</v>
      </c>
    </row>
    <row r="119" spans="1:13">
      <c r="A119" s="25"/>
      <c r="B119" s="25"/>
      <c r="C119" s="24">
        <v>41122</v>
      </c>
      <c r="D119" s="23" t="s">
        <v>70</v>
      </c>
      <c r="E119" s="64" t="str">
        <f>IFERROR(IF(D119=計算シート!$B$7,"○",""),"")</f>
        <v/>
      </c>
      <c r="F119" s="23" t="s">
        <v>202</v>
      </c>
      <c r="G119" s="64" t="str">
        <f>IFERROR(IF(AND(計算シート!$B$11&gt;10570,計算シート!$B$11&lt;=15030),"○",""),"")</f>
        <v/>
      </c>
      <c r="H119" s="23" t="s">
        <v>84</v>
      </c>
      <c r="I119" s="64" t="str">
        <f t="shared" ref="I119:I120" si="10">G119</f>
        <v/>
      </c>
      <c r="J119" s="64">
        <f>ROUNDDOWN(計算シート!$B$11*0.45,0)</f>
        <v>0</v>
      </c>
      <c r="K119" s="64" t="str">
        <f>IF(AND(計算シート!$E$3='計算式あて（再計算後）'!C119,E119="○",G119="○",I119="○"),"★","")</f>
        <v/>
      </c>
      <c r="L119" s="66" t="str">
        <f>IF(AND(計算シート!$E$5='計算式あて（再計算後）'!C119,E119="○",G119="○",I119="○"),"◆","")</f>
        <v/>
      </c>
      <c r="M119" s="23">
        <v>0.03</v>
      </c>
    </row>
    <row r="120" spans="1:13">
      <c r="A120" s="27"/>
      <c r="B120" s="28"/>
      <c r="C120" s="24">
        <v>41122</v>
      </c>
      <c r="D120" s="23" t="s">
        <v>70</v>
      </c>
      <c r="E120" s="64" t="str">
        <f>IFERROR(IF(D120=計算シート!$B$7,"○",""),"")</f>
        <v/>
      </c>
      <c r="F120" s="23" t="s">
        <v>199</v>
      </c>
      <c r="G120" s="64" t="str">
        <f>IFERROR(IF(計算シート!$B$11&gt;15030,"○",""),"")</f>
        <v/>
      </c>
      <c r="H120" s="23" t="s">
        <v>205</v>
      </c>
      <c r="I120" s="64" t="str">
        <f t="shared" si="10"/>
        <v/>
      </c>
      <c r="J120" s="64">
        <v>6763</v>
      </c>
      <c r="K120" s="64" t="str">
        <f>IF(AND(計算シート!$E$3='計算式あて（再計算後）'!C120,E120="○",G120="○",I120="○"),"★","")</f>
        <v/>
      </c>
      <c r="L120" s="66" t="str">
        <f>IF(AND(計算シート!$E$5='計算式あて（再計算後）'!C120,E120="○",G120="○",I120="○"),"◆","")</f>
        <v/>
      </c>
      <c r="M120" s="23">
        <v>0.03</v>
      </c>
    </row>
    <row r="121" spans="1:13" ht="27">
      <c r="A121" s="25"/>
      <c r="B121" s="26" t="s">
        <v>305</v>
      </c>
      <c r="C121" s="24">
        <v>40756</v>
      </c>
      <c r="D121" s="23" t="s">
        <v>67</v>
      </c>
      <c r="E121" s="64" t="str">
        <f>IFERROR(IF(D121=計算シート!$B$7,"○",""),"")</f>
        <v/>
      </c>
      <c r="F121" s="23" t="s">
        <v>207</v>
      </c>
      <c r="G121" s="64" t="str">
        <f>IFERROR(IF(AND(計算シート!$B$11&gt;=2330,計算シート!$B$11&lt;4650),"○",""),"")</f>
        <v/>
      </c>
      <c r="H121" s="23" t="s">
        <v>80</v>
      </c>
      <c r="I121" s="64" t="str">
        <f>G121</f>
        <v/>
      </c>
      <c r="J121" s="64">
        <f>ROUNDDOWN(計算シート!$B$11*0.8,0)</f>
        <v>0</v>
      </c>
      <c r="K121" s="64" t="str">
        <f>IF(AND(計算シート!$E$3='計算式あて（再計算後）'!C121,E121="○",G121="○",I121="○"),"★","")</f>
        <v/>
      </c>
      <c r="L121" s="66" t="str">
        <f>IF(AND(計算シート!$E$5='計算式あて（再計算後）'!C121,E121="○",G121="○",I121="○"),"◆","")</f>
        <v/>
      </c>
      <c r="M121" s="23">
        <v>0.04</v>
      </c>
    </row>
    <row r="122" spans="1:13">
      <c r="A122" s="25"/>
      <c r="B122" s="25"/>
      <c r="C122" s="24">
        <v>40756</v>
      </c>
      <c r="D122" s="23" t="s">
        <v>67</v>
      </c>
      <c r="E122" s="64" t="str">
        <f>IFERROR(IF(D122=計算シート!$B$7,"○",""),"")</f>
        <v/>
      </c>
      <c r="F122" s="23" t="s">
        <v>480</v>
      </c>
      <c r="G122" s="64" t="str">
        <f>IFERROR(IF(AND(計算シート!$B$11&gt;=4650,計算シート!$B$11&lt;=11780),"○",""),"")</f>
        <v/>
      </c>
      <c r="H122" s="23" t="s">
        <v>208</v>
      </c>
      <c r="I122" s="64" t="str">
        <f t="shared" ref="I122:I133" si="11">G122</f>
        <v/>
      </c>
      <c r="J122" s="64">
        <f>ROUNDDOWN(0.8*計算シート!$B$11-0.3*((計算シート!$B$11-4650)/(11780-4650))*計算シート!$B$11,0)</f>
        <v>0</v>
      </c>
      <c r="K122" s="64" t="str">
        <f>IF(AND(計算シート!$E$3='計算式あて（再計算後）'!C122,E122="○",G122="○",I122="○"),"★","")</f>
        <v/>
      </c>
      <c r="L122" s="66" t="str">
        <f>IF(AND(計算シート!$E$5='計算式あて（再計算後）'!C122,E122="○",G122="○",I122="○"),"◆","")</f>
        <v/>
      </c>
      <c r="M122" s="23">
        <v>0.04</v>
      </c>
    </row>
    <row r="123" spans="1:13">
      <c r="A123" s="25"/>
      <c r="B123" s="25"/>
      <c r="C123" s="24">
        <v>40756</v>
      </c>
      <c r="D123" s="23" t="s">
        <v>67</v>
      </c>
      <c r="E123" s="64" t="str">
        <f>IFERROR(IF(D123=計算シート!$B$7,"○",""),"")</f>
        <v/>
      </c>
      <c r="F123" s="23" t="s">
        <v>481</v>
      </c>
      <c r="G123" s="64" t="str">
        <f>IFERROR(IF(AND(計算シート!$B$11&gt;11780,計算シート!$B$11&lt;=12910),"○",""),"")</f>
        <v/>
      </c>
      <c r="H123" s="23" t="s">
        <v>82</v>
      </c>
      <c r="I123" s="64" t="str">
        <f t="shared" si="11"/>
        <v/>
      </c>
      <c r="J123" s="64">
        <f>ROUNDDOWN(計算シート!$B$11*0.5,0)</f>
        <v>0</v>
      </c>
      <c r="K123" s="64" t="str">
        <f>IF(AND(計算シート!$E$3='計算式あて（再計算後）'!C123,E123="○",G123="○",I123="○"),"★","")</f>
        <v/>
      </c>
      <c r="L123" s="66" t="str">
        <f>IF(AND(計算シート!$E$5='計算式あて（再計算後）'!C123,E123="○",G123="○",I123="○"),"◆","")</f>
        <v/>
      </c>
      <c r="M123" s="23">
        <v>0.04</v>
      </c>
    </row>
    <row r="124" spans="1:13">
      <c r="A124" s="25"/>
      <c r="B124" s="25"/>
      <c r="C124" s="24">
        <v>40756</v>
      </c>
      <c r="D124" s="23" t="s">
        <v>67</v>
      </c>
      <c r="E124" s="64" t="str">
        <f>IFERROR(IF(D124=計算シート!$B$7,"○",""),"")</f>
        <v/>
      </c>
      <c r="F124" s="23" t="s">
        <v>216</v>
      </c>
      <c r="G124" s="64" t="str">
        <f>IFERROR(IF(計算シート!$B$11&gt;12910,"○",""),"")</f>
        <v/>
      </c>
      <c r="H124" s="23" t="s">
        <v>220</v>
      </c>
      <c r="I124" s="64" t="str">
        <f t="shared" si="11"/>
        <v/>
      </c>
      <c r="J124" s="64">
        <v>6455</v>
      </c>
      <c r="K124" s="64" t="str">
        <f>IF(AND(計算シート!$E$3='計算式あて（再計算後）'!C124,E124="○",G124="○",I124="○"),"★","")</f>
        <v/>
      </c>
      <c r="L124" s="66" t="str">
        <f>IF(AND(計算シート!$E$5='計算式あて（再計算後）'!C124,E124="○",G124="○",I124="○"),"◆","")</f>
        <v/>
      </c>
      <c r="M124" s="23">
        <v>0.04</v>
      </c>
    </row>
    <row r="125" spans="1:13">
      <c r="A125" s="25"/>
      <c r="B125" s="25"/>
      <c r="C125" s="24">
        <v>40756</v>
      </c>
      <c r="D125" s="23" t="s">
        <v>68</v>
      </c>
      <c r="E125" s="64" t="str">
        <f>IFERROR(IF(D125=計算シート!$B$7,"○",""),"")</f>
        <v/>
      </c>
      <c r="F125" s="23" t="s">
        <v>207</v>
      </c>
      <c r="G125" s="64" t="str">
        <f>IFERROR(IF(AND(計算シート!$B$11&gt;=2330,計算シート!$B$11&lt;4650),"○",""),"")</f>
        <v/>
      </c>
      <c r="H125" s="23" t="s">
        <v>80</v>
      </c>
      <c r="I125" s="64" t="str">
        <f t="shared" si="11"/>
        <v/>
      </c>
      <c r="J125" s="64">
        <f>ROUNDDOWN(計算シート!$B$11*0.8,0)</f>
        <v>0</v>
      </c>
      <c r="K125" s="64" t="str">
        <f>IF(AND(計算シート!$E$3='計算式あて（再計算後）'!C125,E125="○",G125="○",I125="○"),"★","")</f>
        <v/>
      </c>
      <c r="L125" s="66" t="str">
        <f>IF(AND(計算シート!$E$5='計算式あて（再計算後）'!C125,E125="○",G125="○",I125="○"),"◆","")</f>
        <v/>
      </c>
      <c r="M125" s="23">
        <v>0.04</v>
      </c>
    </row>
    <row r="126" spans="1:13">
      <c r="A126" s="25"/>
      <c r="B126" s="25"/>
      <c r="C126" s="24">
        <v>40756</v>
      </c>
      <c r="D126" s="23" t="s">
        <v>68</v>
      </c>
      <c r="E126" s="64" t="str">
        <f>IFERROR(IF(D126=計算シート!$B$7,"○",""),"")</f>
        <v/>
      </c>
      <c r="F126" s="23" t="s">
        <v>480</v>
      </c>
      <c r="G126" s="64" t="str">
        <f>IFERROR(IF(AND(計算シート!$B$11&gt;=4650,計算シート!$B$11&lt;=11780),"○",""),"")</f>
        <v/>
      </c>
      <c r="H126" s="23" t="s">
        <v>208</v>
      </c>
      <c r="I126" s="64" t="str">
        <f t="shared" si="11"/>
        <v/>
      </c>
      <c r="J126" s="64">
        <f>ROUNDDOWN(0.8*計算シート!$B$11-0.3*((計算シート!$B$11-4650)/(11780-4650))*計算シート!$B$11,0)</f>
        <v>0</v>
      </c>
      <c r="K126" s="64" t="str">
        <f>IF(AND(計算シート!$E$3='計算式あて（再計算後）'!C126,E126="○",G126="○",I126="○"),"★","")</f>
        <v/>
      </c>
      <c r="L126" s="66" t="str">
        <f>IF(AND(計算シート!$E$5='計算式あて（再計算後）'!C126,E126="○",G126="○",I126="○"),"◆","")</f>
        <v/>
      </c>
      <c r="M126" s="23">
        <v>0.04</v>
      </c>
    </row>
    <row r="127" spans="1:13">
      <c r="A127" s="25"/>
      <c r="B127" s="25"/>
      <c r="C127" s="24">
        <v>40756</v>
      </c>
      <c r="D127" s="23" t="s">
        <v>68</v>
      </c>
      <c r="E127" s="64" t="str">
        <f>IFERROR(IF(D127=計算シート!$B$7,"○",""),"")</f>
        <v/>
      </c>
      <c r="F127" s="23" t="s">
        <v>482</v>
      </c>
      <c r="G127" s="64" t="str">
        <f>IFERROR(IF(AND(計算シート!$B$11&gt;11780,計算シート!$B$11&lt;=14340),"○",""),"")</f>
        <v/>
      </c>
      <c r="H127" s="23" t="s">
        <v>82</v>
      </c>
      <c r="I127" s="64" t="str">
        <f t="shared" si="11"/>
        <v/>
      </c>
      <c r="J127" s="64">
        <f>ROUNDDOWN(計算シート!$B$11*0.5,0)</f>
        <v>0</v>
      </c>
      <c r="K127" s="64" t="str">
        <f>IF(AND(計算シート!$E$3='計算式あて（再計算後）'!C127,E127="○",G127="○",I127="○"),"★","")</f>
        <v/>
      </c>
      <c r="L127" s="66" t="str">
        <f>IF(AND(計算シート!$E$5='計算式あて（再計算後）'!C127,E127="○",G127="○",I127="○"),"◆","")</f>
        <v/>
      </c>
      <c r="M127" s="23">
        <v>0.04</v>
      </c>
    </row>
    <row r="128" spans="1:13">
      <c r="A128" s="25"/>
      <c r="B128" s="25"/>
      <c r="C128" s="24">
        <v>40756</v>
      </c>
      <c r="D128" s="23" t="s">
        <v>68</v>
      </c>
      <c r="E128" s="64" t="str">
        <f>IFERROR(IF(D128=計算シート!$B$7,"○",""),"")</f>
        <v/>
      </c>
      <c r="F128" s="23" t="s">
        <v>209</v>
      </c>
      <c r="G128" s="64" t="str">
        <f>IFERROR(IF(計算シート!$B$11&gt;14340,"○",""),"")</f>
        <v/>
      </c>
      <c r="H128" s="23" t="s">
        <v>217</v>
      </c>
      <c r="I128" s="64" t="str">
        <f t="shared" si="11"/>
        <v/>
      </c>
      <c r="J128" s="64">
        <v>7170</v>
      </c>
      <c r="K128" s="64" t="str">
        <f>IF(AND(計算シート!$E$3='計算式あて（再計算後）'!C128,E128="○",G128="○",I128="○"),"★","")</f>
        <v/>
      </c>
      <c r="L128" s="66" t="str">
        <f>IF(AND(計算シート!$E$5='計算式あて（再計算後）'!C128,E128="○",G128="○",I128="○"),"◆","")</f>
        <v/>
      </c>
      <c r="M128" s="23">
        <v>0.04</v>
      </c>
    </row>
    <row r="129" spans="1:13">
      <c r="A129" s="25"/>
      <c r="B129" s="25"/>
      <c r="C129" s="24">
        <v>40756</v>
      </c>
      <c r="D129" s="23" t="s">
        <v>69</v>
      </c>
      <c r="E129" s="64" t="str">
        <f>IFERROR(IF(D129=計算シート!$B$7,"○",""),"")</f>
        <v/>
      </c>
      <c r="F129" s="23" t="s">
        <v>207</v>
      </c>
      <c r="G129" s="64" t="str">
        <f>IFERROR(IF(AND(計算シート!$B$11&gt;=2330,計算シート!$B$11&lt;4650),"○",""),"")</f>
        <v/>
      </c>
      <c r="H129" s="23" t="s">
        <v>80</v>
      </c>
      <c r="I129" s="64" t="str">
        <f t="shared" si="11"/>
        <v/>
      </c>
      <c r="J129" s="64">
        <f>ROUNDDOWN(計算シート!$B$11*0.8,0)</f>
        <v>0</v>
      </c>
      <c r="K129" s="64" t="str">
        <f>IF(AND(計算シート!$E$3='計算式あて（再計算後）'!C129,E129="○",G129="○",I129="○"),"★","")</f>
        <v/>
      </c>
      <c r="L129" s="66" t="str">
        <f>IF(AND(計算シート!$E$5='計算式あて（再計算後）'!C129,E129="○",G129="○",I129="○"),"◆","")</f>
        <v/>
      </c>
      <c r="M129" s="23">
        <v>0.04</v>
      </c>
    </row>
    <row r="130" spans="1:13">
      <c r="A130" s="25"/>
      <c r="B130" s="25"/>
      <c r="C130" s="24">
        <v>40756</v>
      </c>
      <c r="D130" s="23" t="s">
        <v>69</v>
      </c>
      <c r="E130" s="64" t="str">
        <f>IFERROR(IF(D130=計算シート!$B$7,"○",""),"")</f>
        <v/>
      </c>
      <c r="F130" s="23" t="s">
        <v>480</v>
      </c>
      <c r="G130" s="64" t="str">
        <f>IFERROR(IF(AND(計算シート!$B$11&gt;=4650,計算シート!$B$11&lt;=11780),"○",""),"")</f>
        <v/>
      </c>
      <c r="H130" s="23" t="s">
        <v>208</v>
      </c>
      <c r="I130" s="64" t="str">
        <f t="shared" si="11"/>
        <v/>
      </c>
      <c r="J130" s="64">
        <f>ROUNDDOWN(0.8*計算シート!$B$11-0.3*((計算シート!$B$11-4650)/(11780-4650))*計算シート!$B$11,0)</f>
        <v>0</v>
      </c>
      <c r="K130" s="64" t="str">
        <f>IF(AND(計算シート!$E$3='計算式あて（再計算後）'!C130,E130="○",G130="○",I130="○"),"★","")</f>
        <v/>
      </c>
      <c r="L130" s="66" t="str">
        <f>IF(AND(計算シート!$E$5='計算式あて（再計算後）'!C130,E130="○",G130="○",I130="○"),"◆","")</f>
        <v/>
      </c>
      <c r="M130" s="23">
        <v>0.04</v>
      </c>
    </row>
    <row r="131" spans="1:13">
      <c r="A131" s="25"/>
      <c r="B131" s="25"/>
      <c r="C131" s="24">
        <v>40756</v>
      </c>
      <c r="D131" s="23" t="s">
        <v>69</v>
      </c>
      <c r="E131" s="64" t="str">
        <f>IFERROR(IF(D131=計算シート!$B$7,"○",""),"")</f>
        <v/>
      </c>
      <c r="F131" s="23" t="s">
        <v>483</v>
      </c>
      <c r="G131" s="64" t="str">
        <f>IFERROR(IF(AND(計算シート!$B$11&gt;11780,計算シート!$B$11&lt;=15780),"○",""),"")</f>
        <v/>
      </c>
      <c r="H131" s="23" t="s">
        <v>82</v>
      </c>
      <c r="I131" s="64" t="str">
        <f t="shared" si="11"/>
        <v/>
      </c>
      <c r="J131" s="64">
        <f>ROUNDDOWN(計算シート!$B$11*0.5,0)</f>
        <v>0</v>
      </c>
      <c r="K131" s="64" t="str">
        <f>IF(AND(計算シート!$E$3='計算式あて（再計算後）'!C131,E131="○",G131="○",I131="○"),"★","")</f>
        <v/>
      </c>
      <c r="L131" s="66" t="str">
        <f>IF(AND(計算シート!$E$5='計算式あて（再計算後）'!C131,E131="○",G131="○",I131="○"),"◆","")</f>
        <v/>
      </c>
      <c r="M131" s="23">
        <v>0.04</v>
      </c>
    </row>
    <row r="132" spans="1:13">
      <c r="A132" s="25"/>
      <c r="B132" s="25"/>
      <c r="C132" s="24">
        <v>40756</v>
      </c>
      <c r="D132" s="23" t="s">
        <v>69</v>
      </c>
      <c r="E132" s="64" t="str">
        <f>IFERROR(IF(D132=計算シート!$B$7,"○",""),"")</f>
        <v/>
      </c>
      <c r="F132" s="23" t="s">
        <v>210</v>
      </c>
      <c r="G132" s="64" t="str">
        <f>IFERROR(IF(計算シート!$B$11&gt;15780,"○",""),"")</f>
        <v/>
      </c>
      <c r="H132" s="23" t="s">
        <v>218</v>
      </c>
      <c r="I132" s="64" t="str">
        <f t="shared" si="11"/>
        <v/>
      </c>
      <c r="J132" s="64">
        <v>7890</v>
      </c>
      <c r="K132" s="64" t="str">
        <f>IF(AND(計算シート!$E$3='計算式あて（再計算後）'!C132,E132="○",G132="○",I132="○"),"★","")</f>
        <v/>
      </c>
      <c r="L132" s="66" t="str">
        <f>IF(AND(計算シート!$E$5='計算式あて（再計算後）'!C132,E132="○",G132="○",I132="○"),"◆","")</f>
        <v/>
      </c>
      <c r="M132" s="23">
        <v>0.04</v>
      </c>
    </row>
    <row r="133" spans="1:13">
      <c r="A133" s="25"/>
      <c r="B133" s="25"/>
      <c r="C133" s="24">
        <v>40756</v>
      </c>
      <c r="D133" s="23" t="s">
        <v>70</v>
      </c>
      <c r="E133" s="64" t="str">
        <f>IFERROR(IF(D133=計算シート!$B$7,"○",""),"")</f>
        <v/>
      </c>
      <c r="F133" s="23" t="s">
        <v>207</v>
      </c>
      <c r="G133" s="64" t="str">
        <f>IFERROR(IF(AND(計算シート!$B$11&gt;=2330,計算シート!$B$11&lt;4650),"○",""),"")</f>
        <v/>
      </c>
      <c r="H133" s="23" t="s">
        <v>80</v>
      </c>
      <c r="I133" s="64" t="str">
        <f t="shared" si="11"/>
        <v/>
      </c>
      <c r="J133" s="64">
        <f>ROUNDDOWN(計算シート!$B$11*0.8,0)</f>
        <v>0</v>
      </c>
      <c r="K133" s="64" t="str">
        <f>IF(AND(計算シート!$E$3='計算式あて（再計算後）'!C133,E133="○",G133="○",I133="○"),"★","")</f>
        <v/>
      </c>
      <c r="L133" s="66" t="str">
        <f>IF(AND(計算シート!$E$5='計算式あて（再計算後）'!C133,E133="○",G133="○",I133="○"),"◆","")</f>
        <v/>
      </c>
      <c r="M133" s="23">
        <v>0.04</v>
      </c>
    </row>
    <row r="134" spans="1:13">
      <c r="A134" s="25"/>
      <c r="B134" s="25"/>
      <c r="C134" s="24">
        <v>40756</v>
      </c>
      <c r="D134" s="23" t="s">
        <v>70</v>
      </c>
      <c r="E134" s="64" t="str">
        <f>IFERROR(IF(D134=計算シート!$B$7,"○",""),"")</f>
        <v/>
      </c>
      <c r="F134" s="23" t="s">
        <v>484</v>
      </c>
      <c r="G134" s="64" t="str">
        <f>IFERROR(IF(AND(計算シート!$B$11&gt;=4650,計算シート!$B$11&lt;=10600),"○",""),"")</f>
        <v/>
      </c>
      <c r="H134" s="23" t="s">
        <v>211</v>
      </c>
      <c r="I134" s="64" t="str">
        <f>IFERROR(IF(J134&lt;J135,"○",""),"")</f>
        <v>○</v>
      </c>
      <c r="J134" s="64">
        <f>ROUNDDOWN(0.8*計算シート!$B$11-0.35*((計算シート!$B$11-4650)/(10600-4650))*計算シート!$B$11,0)</f>
        <v>0</v>
      </c>
      <c r="K134" s="64" t="str">
        <f>IF(AND(計算シート!$E$3='計算式あて（再計算後）'!C134,E134="○",G134="○",I134="○"),"★","")</f>
        <v/>
      </c>
      <c r="L134" s="66" t="str">
        <f>IF(AND(計算シート!$E$5='計算式あて（再計算後）'!C134,E134="○",G134="○",I134="○"),"◆","")</f>
        <v/>
      </c>
      <c r="M134" s="23">
        <v>0.04</v>
      </c>
    </row>
    <row r="135" spans="1:13">
      <c r="A135" s="25"/>
      <c r="B135" s="25"/>
      <c r="C135" s="24">
        <v>40756</v>
      </c>
      <c r="D135" s="23" t="s">
        <v>70</v>
      </c>
      <c r="E135" s="64" t="str">
        <f>IFERROR(IF(D135=計算シート!$B$7,"○",""),"")</f>
        <v/>
      </c>
      <c r="F135" s="23" t="s">
        <v>484</v>
      </c>
      <c r="G135" s="64" t="str">
        <f>IFERROR(IF(AND(計算シート!$B$11&gt;=4650,計算シート!$B$11&lt;=10600),"○",""),"")</f>
        <v/>
      </c>
      <c r="H135" s="23" t="s">
        <v>212</v>
      </c>
      <c r="I135" s="64" t="str">
        <f>IFERROR(IF(J135&lt;J134,"○",""),"")</f>
        <v/>
      </c>
      <c r="J135" s="64">
        <f>ROUNDDOWN(計算シート!$B$11*0.05+(10600*0.4),0)</f>
        <v>4240</v>
      </c>
      <c r="K135" s="64" t="str">
        <f>IF(AND(計算シート!$E$3='計算式あて（再計算後）'!C135,E135="○",G135="○",I135="○"),"★","")</f>
        <v/>
      </c>
      <c r="L135" s="66" t="str">
        <f>IF(AND(計算シート!$E$5='計算式あて（再計算後）'!C135,E135="○",G135="○",I135="○"),"◆","")</f>
        <v/>
      </c>
      <c r="M135" s="23">
        <v>0.04</v>
      </c>
    </row>
    <row r="136" spans="1:13">
      <c r="A136" s="25"/>
      <c r="B136" s="25"/>
      <c r="C136" s="24">
        <v>40756</v>
      </c>
      <c r="D136" s="23" t="s">
        <v>70</v>
      </c>
      <c r="E136" s="64" t="str">
        <f>IFERROR(IF(D136=計算シート!$B$7,"○",""),"")</f>
        <v/>
      </c>
      <c r="F136" s="23" t="s">
        <v>213</v>
      </c>
      <c r="G136" s="64" t="str">
        <f>IFERROR(IF(AND(計算シート!$B$11&gt;10600,計算シート!$B$11&lt;=15070),"○",""),"")</f>
        <v/>
      </c>
      <c r="H136" s="23" t="s">
        <v>84</v>
      </c>
      <c r="I136" s="64" t="str">
        <f t="shared" ref="I136:I137" si="12">G136</f>
        <v/>
      </c>
      <c r="J136" s="64">
        <f>ROUNDDOWN(計算シート!$B$11*0.45,0)</f>
        <v>0</v>
      </c>
      <c r="K136" s="64" t="str">
        <f>IF(AND(計算シート!$E$3='計算式あて（再計算後）'!C136,E136="○",G136="○",I136="○"),"★","")</f>
        <v/>
      </c>
      <c r="L136" s="66" t="str">
        <f>IF(AND(計算シート!$E$5='計算式あて（再計算後）'!C136,E136="○",G136="○",I136="○"),"◆","")</f>
        <v/>
      </c>
      <c r="M136" s="23">
        <v>0.04</v>
      </c>
    </row>
    <row r="137" spans="1:13">
      <c r="A137" s="27"/>
      <c r="B137" s="28"/>
      <c r="C137" s="24">
        <v>40756</v>
      </c>
      <c r="D137" s="23" t="s">
        <v>70</v>
      </c>
      <c r="E137" s="64" t="str">
        <f>IFERROR(IF(D137=計算シート!$B$7,"○",""),"")</f>
        <v/>
      </c>
      <c r="F137" s="23" t="s">
        <v>214</v>
      </c>
      <c r="G137" s="64" t="str">
        <f>IFERROR(IF(計算シート!$B$11&gt;15070,"○",""),"")</f>
        <v/>
      </c>
      <c r="H137" s="23" t="s">
        <v>219</v>
      </c>
      <c r="I137" s="64" t="str">
        <f t="shared" si="12"/>
        <v/>
      </c>
      <c r="J137" s="64">
        <v>6781</v>
      </c>
      <c r="K137" s="64" t="str">
        <f>IF(AND(計算シート!$E$3='計算式あて（再計算後）'!C137,E137="○",G137="○",I137="○"),"★","")</f>
        <v/>
      </c>
      <c r="L137" s="66" t="str">
        <f>IF(AND(計算シート!$E$5='計算式あて（再計算後）'!C137,E137="○",G137="○",I137="○"),"◆","")</f>
        <v/>
      </c>
      <c r="M137" s="23">
        <v>0.04</v>
      </c>
    </row>
    <row r="138" spans="1:13" ht="27">
      <c r="A138" s="25"/>
      <c r="B138" s="26" t="s">
        <v>306</v>
      </c>
      <c r="C138" s="24">
        <v>40391</v>
      </c>
      <c r="D138" s="23" t="s">
        <v>67</v>
      </c>
      <c r="E138" s="64" t="str">
        <f>IFERROR(IF(D138=計算シート!$B$7,"○",""),"")</f>
        <v/>
      </c>
      <c r="F138" s="23" t="s">
        <v>221</v>
      </c>
      <c r="G138" s="64" t="str">
        <f>IFERROR(IF(AND(計算シート!$B$11&gt;=2010,計算シート!$B$11&lt;3970),"○",""),"")</f>
        <v/>
      </c>
      <c r="H138" s="23" t="s">
        <v>80</v>
      </c>
      <c r="I138" s="64" t="str">
        <f>G138</f>
        <v/>
      </c>
      <c r="J138" s="64">
        <f>ROUNDDOWN(計算シート!$B$11*0.8,0)</f>
        <v>0</v>
      </c>
      <c r="K138" s="64" t="str">
        <f>IF(AND(計算シート!$E$3='計算式あて（再計算後）'!C138,E138="○",G138="○",I138="○"),"★","")</f>
        <v/>
      </c>
      <c r="L138" s="66" t="str">
        <f>IF(AND(計算シート!$E$5='計算式あて（再計算後）'!C138,E138="○",G138="○",I138="○"),"◆","")</f>
        <v/>
      </c>
      <c r="M138" s="23">
        <v>0.05</v>
      </c>
    </row>
    <row r="139" spans="1:13">
      <c r="A139" s="25"/>
      <c r="B139" s="25"/>
      <c r="C139" s="24">
        <v>40391</v>
      </c>
      <c r="D139" s="23" t="s">
        <v>67</v>
      </c>
      <c r="E139" s="64" t="str">
        <f>IFERROR(IF(D139=計算シート!$B$7,"○",""),"")</f>
        <v/>
      </c>
      <c r="F139" s="23" t="s">
        <v>485</v>
      </c>
      <c r="G139" s="64" t="str">
        <f>IFERROR(IF(AND(計算シート!$B$11&gt;=3970,計算シート!$B$11&lt;=11490),"○",""),"")</f>
        <v/>
      </c>
      <c r="H139" s="23" t="s">
        <v>222</v>
      </c>
      <c r="I139" s="64" t="str">
        <f t="shared" ref="I139:I150" si="13">G139</f>
        <v/>
      </c>
      <c r="J139" s="64">
        <f>ROUNDDOWN(0.8*計算シート!$B$11-0.3*((計算シート!$B$11-3970)/(11490-3970))*計算シート!$B$11,0)</f>
        <v>0</v>
      </c>
      <c r="K139" s="64" t="str">
        <f>IF(AND(計算シート!$E$3='計算式あて（再計算後）'!C139,E139="○",G139="○",I139="○"),"★","")</f>
        <v/>
      </c>
      <c r="L139" s="66" t="str">
        <f>IF(AND(計算シート!$E$5='計算式あて（再計算後）'!C139,E139="○",G139="○",I139="○"),"◆","")</f>
        <v/>
      </c>
      <c r="M139" s="23">
        <v>0.05</v>
      </c>
    </row>
    <row r="140" spans="1:13">
      <c r="A140" s="25"/>
      <c r="B140" s="25"/>
      <c r="C140" s="24">
        <v>40391</v>
      </c>
      <c r="D140" s="23" t="s">
        <v>67</v>
      </c>
      <c r="E140" s="64" t="str">
        <f>IFERROR(IF(D140=計算シート!$B$7,"○",""),"")</f>
        <v/>
      </c>
      <c r="F140" s="23" t="s">
        <v>486</v>
      </c>
      <c r="G140" s="64" t="str">
        <f>IFERROR(IF(AND(計算シート!$B$11&gt;11490,計算シート!$B$11&lt;=12360),"○",""),"")</f>
        <v/>
      </c>
      <c r="H140" s="23" t="s">
        <v>82</v>
      </c>
      <c r="I140" s="64" t="str">
        <f t="shared" si="13"/>
        <v/>
      </c>
      <c r="J140" s="64">
        <f>ROUNDDOWN(計算シート!$B$11*0.5,0)</f>
        <v>0</v>
      </c>
      <c r="K140" s="64" t="str">
        <f>IF(AND(計算シート!$E$3='計算式あて（再計算後）'!C140,E140="○",G140="○",I140="○"),"★","")</f>
        <v/>
      </c>
      <c r="L140" s="66" t="str">
        <f>IF(AND(計算シート!$E$5='計算式あて（再計算後）'!C140,E140="○",G140="○",I140="○"),"◆","")</f>
        <v/>
      </c>
      <c r="M140" s="23">
        <v>0.05</v>
      </c>
    </row>
    <row r="141" spans="1:13">
      <c r="A141" s="25"/>
      <c r="B141" s="25"/>
      <c r="C141" s="24">
        <v>40391</v>
      </c>
      <c r="D141" s="23" t="s">
        <v>67</v>
      </c>
      <c r="E141" s="64" t="str">
        <f>IFERROR(IF(D141=計算シート!$B$7,"○",""),"")</f>
        <v/>
      </c>
      <c r="F141" s="23" t="s">
        <v>229</v>
      </c>
      <c r="G141" s="64" t="str">
        <f>IFERROR(IF(計算シート!$B$11&gt;12360,"○",""),"")</f>
        <v/>
      </c>
      <c r="H141" s="23" t="s">
        <v>233</v>
      </c>
      <c r="I141" s="64" t="str">
        <f t="shared" si="13"/>
        <v/>
      </c>
      <c r="J141" s="64">
        <v>6180</v>
      </c>
      <c r="K141" s="64" t="str">
        <f>IF(AND(計算シート!$E$3='計算式あて（再計算後）'!C141,E141="○",G141="○",I141="○"),"★","")</f>
        <v/>
      </c>
      <c r="L141" s="66" t="str">
        <f>IF(AND(計算シート!$E$5='計算式あて（再計算後）'!C141,E141="○",G141="○",I141="○"),"◆","")</f>
        <v/>
      </c>
      <c r="M141" s="23">
        <v>0.05</v>
      </c>
    </row>
    <row r="142" spans="1:13">
      <c r="A142" s="25"/>
      <c r="B142" s="25"/>
      <c r="C142" s="24">
        <v>40391</v>
      </c>
      <c r="D142" s="23" t="s">
        <v>68</v>
      </c>
      <c r="E142" s="64" t="str">
        <f>IFERROR(IF(D142=計算シート!$B$7,"○",""),"")</f>
        <v/>
      </c>
      <c r="F142" s="23" t="s">
        <v>221</v>
      </c>
      <c r="G142" s="64" t="str">
        <f>IFERROR(IF(AND(計算シート!$B$11&gt;=2010,計算シート!$B$11&lt;3970),"○",""),"")</f>
        <v/>
      </c>
      <c r="H142" s="23" t="s">
        <v>80</v>
      </c>
      <c r="I142" s="64" t="str">
        <f t="shared" si="13"/>
        <v/>
      </c>
      <c r="J142" s="64">
        <f>ROUNDDOWN(計算シート!$B$11*0.8,0)</f>
        <v>0</v>
      </c>
      <c r="K142" s="64" t="str">
        <f>IF(AND(計算シート!$E$3='計算式あて（再計算後）'!C142,E142="○",G142="○",I142="○"),"★","")</f>
        <v/>
      </c>
      <c r="L142" s="66" t="str">
        <f>IF(AND(計算シート!$E$5='計算式あて（再計算後）'!C142,E142="○",G142="○",I142="○"),"◆","")</f>
        <v/>
      </c>
      <c r="M142" s="23">
        <v>0.05</v>
      </c>
    </row>
    <row r="143" spans="1:13">
      <c r="A143" s="25"/>
      <c r="B143" s="25"/>
      <c r="C143" s="24">
        <v>40391</v>
      </c>
      <c r="D143" s="23" t="s">
        <v>68</v>
      </c>
      <c r="E143" s="64" t="str">
        <f>IFERROR(IF(D143=計算シート!$B$7,"○",""),"")</f>
        <v/>
      </c>
      <c r="F143" s="23" t="s">
        <v>485</v>
      </c>
      <c r="G143" s="64" t="str">
        <f>IFERROR(IF(AND(計算シート!$B$11&gt;=3970,計算シート!$B$11&lt;=11490),"○",""),"")</f>
        <v/>
      </c>
      <c r="H143" s="23" t="s">
        <v>222</v>
      </c>
      <c r="I143" s="64" t="str">
        <f t="shared" si="13"/>
        <v/>
      </c>
      <c r="J143" s="64">
        <f>ROUNDDOWN(0.8*計算シート!$B$11-0.3*((計算シート!$B$11-3970)/(11490-3970))*計算シート!$B$11,0)</f>
        <v>0</v>
      </c>
      <c r="K143" s="64" t="str">
        <f>IF(AND(計算シート!$E$3='計算式あて（再計算後）'!C143,E143="○",G143="○",I143="○"),"★","")</f>
        <v/>
      </c>
      <c r="L143" s="66" t="str">
        <f>IF(AND(計算シート!$E$5='計算式あて（再計算後）'!C143,E143="○",G143="○",I143="○"),"◆","")</f>
        <v/>
      </c>
      <c r="M143" s="23">
        <v>0.05</v>
      </c>
    </row>
    <row r="144" spans="1:13">
      <c r="A144" s="25"/>
      <c r="B144" s="25"/>
      <c r="C144" s="24">
        <v>40391</v>
      </c>
      <c r="D144" s="23" t="s">
        <v>68</v>
      </c>
      <c r="E144" s="64" t="str">
        <f>IFERROR(IF(D144=計算シート!$B$7,"○",""),"")</f>
        <v/>
      </c>
      <c r="F144" s="23" t="s">
        <v>487</v>
      </c>
      <c r="G144" s="64" t="str">
        <f>IFERROR(IF(AND(計算シート!$B$11&gt;11490,計算シート!$B$11&lt;=13730),"○",""),"")</f>
        <v/>
      </c>
      <c r="H144" s="23" t="s">
        <v>82</v>
      </c>
      <c r="I144" s="64" t="str">
        <f t="shared" si="13"/>
        <v/>
      </c>
      <c r="J144" s="64">
        <f>ROUNDDOWN(計算シート!$B$11*0.5,0)</f>
        <v>0</v>
      </c>
      <c r="K144" s="64" t="str">
        <f>IF(AND(計算シート!$E$3='計算式あて（再計算後）'!C144,E144="○",G144="○",I144="○"),"★","")</f>
        <v/>
      </c>
      <c r="L144" s="66" t="str">
        <f>IF(AND(計算シート!$E$5='計算式あて（再計算後）'!C144,E144="○",G144="○",I144="○"),"◆","")</f>
        <v/>
      </c>
      <c r="M144" s="23">
        <v>0.05</v>
      </c>
    </row>
    <row r="145" spans="1:13">
      <c r="A145" s="25"/>
      <c r="B145" s="25"/>
      <c r="C145" s="24">
        <v>40391</v>
      </c>
      <c r="D145" s="23" t="s">
        <v>68</v>
      </c>
      <c r="E145" s="64" t="str">
        <f>IFERROR(IF(D145=計算シート!$B$7,"○",""),"")</f>
        <v/>
      </c>
      <c r="F145" s="23" t="s">
        <v>223</v>
      </c>
      <c r="G145" s="64" t="str">
        <f>IFERROR(IF(計算シート!$B$11&gt;13730,"○",""),"")</f>
        <v/>
      </c>
      <c r="H145" s="23" t="s">
        <v>230</v>
      </c>
      <c r="I145" s="64" t="str">
        <f t="shared" si="13"/>
        <v/>
      </c>
      <c r="J145" s="64">
        <v>6865</v>
      </c>
      <c r="K145" s="64" t="str">
        <f>IF(AND(計算シート!$E$3='計算式あて（再計算後）'!C145,E145="○",G145="○",I145="○"),"★","")</f>
        <v/>
      </c>
      <c r="L145" s="66" t="str">
        <f>IF(AND(計算シート!$E$5='計算式あて（再計算後）'!C145,E145="○",G145="○",I145="○"),"◆","")</f>
        <v/>
      </c>
      <c r="M145" s="23">
        <v>0.05</v>
      </c>
    </row>
    <row r="146" spans="1:13">
      <c r="A146" s="25"/>
      <c r="B146" s="25"/>
      <c r="C146" s="24">
        <v>40391</v>
      </c>
      <c r="D146" s="23" t="s">
        <v>69</v>
      </c>
      <c r="E146" s="64" t="str">
        <f>IFERROR(IF(D146=計算シート!$B$7,"○",""),"")</f>
        <v/>
      </c>
      <c r="F146" s="23" t="s">
        <v>221</v>
      </c>
      <c r="G146" s="64" t="str">
        <f>IFERROR(IF(AND(計算シート!$B$11&gt;=2010,計算シート!$B$11&lt;3970),"○",""),"")</f>
        <v/>
      </c>
      <c r="H146" s="23" t="s">
        <v>80</v>
      </c>
      <c r="I146" s="64" t="str">
        <f t="shared" si="13"/>
        <v/>
      </c>
      <c r="J146" s="64">
        <f>ROUNDDOWN(計算シート!$B$11*0.8,0)</f>
        <v>0</v>
      </c>
      <c r="K146" s="64" t="str">
        <f>IF(AND(計算シート!$E$3='計算式あて（再計算後）'!C146,E146="○",G146="○",I146="○"),"★","")</f>
        <v/>
      </c>
      <c r="L146" s="66" t="str">
        <f>IF(AND(計算シート!$E$5='計算式あて（再計算後）'!C146,E146="○",G146="○",I146="○"),"◆","")</f>
        <v/>
      </c>
      <c r="M146" s="23">
        <v>0.05</v>
      </c>
    </row>
    <row r="147" spans="1:13">
      <c r="A147" s="25"/>
      <c r="B147" s="25"/>
      <c r="C147" s="24">
        <v>40391</v>
      </c>
      <c r="D147" s="23" t="s">
        <v>69</v>
      </c>
      <c r="E147" s="64" t="str">
        <f>IFERROR(IF(D147=計算シート!$B$7,"○",""),"")</f>
        <v/>
      </c>
      <c r="F147" s="23" t="s">
        <v>485</v>
      </c>
      <c r="G147" s="64" t="str">
        <f>IFERROR(IF(AND(計算シート!$B$11&gt;=3970,計算シート!$B$11&lt;=11490),"○",""),"")</f>
        <v/>
      </c>
      <c r="H147" s="23" t="s">
        <v>222</v>
      </c>
      <c r="I147" s="64" t="str">
        <f t="shared" si="13"/>
        <v/>
      </c>
      <c r="J147" s="64">
        <f>ROUNDDOWN(0.8*計算シート!$B$11-0.3*((計算シート!$B$11-3970)/(11490-3970))*計算シート!$B$11,0)</f>
        <v>0</v>
      </c>
      <c r="K147" s="64" t="str">
        <f>IF(AND(計算シート!$E$3='計算式あて（再計算後）'!C147,E147="○",G147="○",I147="○"),"★","")</f>
        <v/>
      </c>
      <c r="L147" s="66" t="str">
        <f>IF(AND(計算シート!$E$5='計算式あて（再計算後）'!C147,E147="○",G147="○",I147="○"),"◆","")</f>
        <v/>
      </c>
      <c r="M147" s="23">
        <v>0.05</v>
      </c>
    </row>
    <row r="148" spans="1:13">
      <c r="A148" s="25"/>
      <c r="B148" s="25"/>
      <c r="C148" s="24">
        <v>40391</v>
      </c>
      <c r="D148" s="23" t="s">
        <v>69</v>
      </c>
      <c r="E148" s="64" t="str">
        <f>IFERROR(IF(D148=計算シート!$B$7,"○",""),"")</f>
        <v/>
      </c>
      <c r="F148" s="23" t="s">
        <v>488</v>
      </c>
      <c r="G148" s="64" t="str">
        <f>IFERROR(IF(AND(計算シート!$B$11&gt;11490,計算シート!$B$11&lt;=15120),"○",""),"")</f>
        <v/>
      </c>
      <c r="H148" s="23" t="s">
        <v>82</v>
      </c>
      <c r="I148" s="64" t="str">
        <f t="shared" si="13"/>
        <v/>
      </c>
      <c r="J148" s="64">
        <f>ROUNDDOWN(計算シート!$B$11*0.5,0)</f>
        <v>0</v>
      </c>
      <c r="K148" s="64" t="str">
        <f>IF(AND(計算シート!$E$3='計算式あて（再計算後）'!C148,E148="○",G148="○",I148="○"),"★","")</f>
        <v/>
      </c>
      <c r="L148" s="66" t="str">
        <f>IF(AND(計算シート!$E$5='計算式あて（再計算後）'!C148,E148="○",G148="○",I148="○"),"◆","")</f>
        <v/>
      </c>
      <c r="M148" s="23">
        <v>0.05</v>
      </c>
    </row>
    <row r="149" spans="1:13">
      <c r="A149" s="25"/>
      <c r="B149" s="25"/>
      <c r="C149" s="24">
        <v>40391</v>
      </c>
      <c r="D149" s="23" t="s">
        <v>69</v>
      </c>
      <c r="E149" s="64" t="str">
        <f>IFERROR(IF(D149=計算シート!$B$7,"○",""),"")</f>
        <v/>
      </c>
      <c r="F149" s="23" t="s">
        <v>224</v>
      </c>
      <c r="G149" s="64" t="str">
        <f>IFERROR(IF(計算シート!$B$11&gt;15120,"○",""),"")</f>
        <v/>
      </c>
      <c r="H149" s="23" t="s">
        <v>231</v>
      </c>
      <c r="I149" s="64" t="str">
        <f t="shared" si="13"/>
        <v/>
      </c>
      <c r="J149" s="64">
        <v>7560</v>
      </c>
      <c r="K149" s="64" t="str">
        <f>IF(AND(計算シート!$E$3='計算式あて（再計算後）'!C149,E149="○",G149="○",I149="○"),"★","")</f>
        <v/>
      </c>
      <c r="L149" s="66" t="str">
        <f>IF(AND(計算シート!$E$5='計算式あて（再計算後）'!C149,E149="○",G149="○",I149="○"),"◆","")</f>
        <v/>
      </c>
      <c r="M149" s="23">
        <v>0.05</v>
      </c>
    </row>
    <row r="150" spans="1:13">
      <c r="A150" s="25"/>
      <c r="B150" s="25"/>
      <c r="C150" s="24">
        <v>40391</v>
      </c>
      <c r="D150" s="23" t="s">
        <v>70</v>
      </c>
      <c r="E150" s="64" t="str">
        <f>IFERROR(IF(D150=計算シート!$B$7,"○",""),"")</f>
        <v/>
      </c>
      <c r="F150" s="23" t="s">
        <v>221</v>
      </c>
      <c r="G150" s="64" t="str">
        <f>IFERROR(IF(AND(計算シート!$B$11&gt;=2010,計算シート!$B$11&lt;3970),"○",""),"")</f>
        <v/>
      </c>
      <c r="H150" s="23" t="s">
        <v>80</v>
      </c>
      <c r="I150" s="64" t="str">
        <f t="shared" si="13"/>
        <v/>
      </c>
      <c r="J150" s="64">
        <f>ROUNDDOWN(計算シート!$B$11*0.8,0)</f>
        <v>0</v>
      </c>
      <c r="K150" s="64" t="str">
        <f>IF(AND(計算シート!$E$3='計算式あて（再計算後）'!C150,E150="○",G150="○",I150="○"),"★","")</f>
        <v/>
      </c>
      <c r="L150" s="66" t="str">
        <f>IF(AND(計算シート!$E$5='計算式あて（再計算後）'!C150,E150="○",G150="○",I150="○"),"◆","")</f>
        <v/>
      </c>
      <c r="M150" s="23">
        <v>0.05</v>
      </c>
    </row>
    <row r="151" spans="1:13">
      <c r="A151" s="25"/>
      <c r="B151" s="25"/>
      <c r="C151" s="24">
        <v>40391</v>
      </c>
      <c r="D151" s="23" t="s">
        <v>70</v>
      </c>
      <c r="E151" s="64" t="str">
        <f>IFERROR(IF(D151=計算シート!$B$7,"○",""),"")</f>
        <v/>
      </c>
      <c r="F151" s="23" t="s">
        <v>489</v>
      </c>
      <c r="G151" s="64" t="str">
        <f>IFERROR(IF(AND(計算シート!$B$11&gt;=3970,計算シート!$B$11&lt;=10290),"○",""),"")</f>
        <v/>
      </c>
      <c r="H151" s="23" t="s">
        <v>225</v>
      </c>
      <c r="I151" s="64" t="str">
        <f>IFERROR(IF(J151&lt;J152,"○",""),"")</f>
        <v>○</v>
      </c>
      <c r="J151" s="64">
        <f>ROUNDDOWN(0.8*計算シート!$B$11-0.35*((計算シート!$B$11-3970)/(10290-3970))*計算シート!$B$11,0)</f>
        <v>0</v>
      </c>
      <c r="K151" s="64" t="str">
        <f>IF(AND(計算シート!$E$3='計算式あて（再計算後）'!C151,E151="○",G151="○",I151="○"),"★","")</f>
        <v/>
      </c>
      <c r="L151" s="66" t="str">
        <f>IF(AND(計算シート!$E$5='計算式あて（再計算後）'!C151,E151="○",G151="○",I151="○"),"◆","")</f>
        <v/>
      </c>
      <c r="M151" s="23">
        <v>0.05</v>
      </c>
    </row>
    <row r="152" spans="1:13">
      <c r="A152" s="25"/>
      <c r="B152" s="25"/>
      <c r="C152" s="24">
        <v>40391</v>
      </c>
      <c r="D152" s="23" t="s">
        <v>70</v>
      </c>
      <c r="E152" s="64" t="str">
        <f>IFERROR(IF(D152=計算シート!$B$7,"○",""),"")</f>
        <v/>
      </c>
      <c r="F152" s="23" t="s">
        <v>489</v>
      </c>
      <c r="G152" s="64" t="str">
        <f>IFERROR(IF(AND(計算シート!$B$11&gt;=3970,計算シート!$B$11&lt;=10290),"○",""),"")</f>
        <v/>
      </c>
      <c r="H152" s="23" t="s">
        <v>226</v>
      </c>
      <c r="I152" s="64" t="str">
        <f>IFERROR(IF(J152&lt;J151,"○",""),"")</f>
        <v/>
      </c>
      <c r="J152" s="64">
        <f>ROUNDDOWN(計算シート!$B$11*0.05+(10290*0.4),0)</f>
        <v>4116</v>
      </c>
      <c r="K152" s="64" t="str">
        <f>IF(AND(計算シート!$E$3='計算式あて（再計算後）'!C152,E152="○",G152="○",I152="○"),"★","")</f>
        <v/>
      </c>
      <c r="L152" s="66" t="str">
        <f>IF(AND(計算シート!$E$5='計算式あて（再計算後）'!C152,E152="○",G152="○",I152="○"),"◆","")</f>
        <v/>
      </c>
      <c r="M152" s="23">
        <v>0.05</v>
      </c>
    </row>
    <row r="153" spans="1:13">
      <c r="A153" s="25"/>
      <c r="B153" s="25"/>
      <c r="C153" s="24">
        <v>40391</v>
      </c>
      <c r="D153" s="23" t="s">
        <v>70</v>
      </c>
      <c r="E153" s="64" t="str">
        <f>IFERROR(IF(D153=計算シート!$B$7,"○",""),"")</f>
        <v/>
      </c>
      <c r="F153" s="23" t="s">
        <v>227</v>
      </c>
      <c r="G153" s="64" t="str">
        <f>IFERROR(IF(AND(計算シート!$B$11&gt;10290,計算シート!$B$11&lt;=14640),"○",""),"")</f>
        <v/>
      </c>
      <c r="H153" s="23" t="s">
        <v>84</v>
      </c>
      <c r="I153" s="64" t="str">
        <f t="shared" ref="I153:I154" si="14">G153</f>
        <v/>
      </c>
      <c r="J153" s="64">
        <f>ROUNDDOWN(計算シート!$B$11*0.45,0)</f>
        <v>0</v>
      </c>
      <c r="K153" s="64" t="str">
        <f>IF(AND(計算シート!$E$3='計算式あて（再計算後）'!C153,E153="○",G153="○",I153="○"),"★","")</f>
        <v/>
      </c>
      <c r="L153" s="66" t="str">
        <f>IF(AND(計算シート!$E$5='計算式あて（再計算後）'!C153,E153="○",G153="○",I153="○"),"◆","")</f>
        <v/>
      </c>
      <c r="M153" s="23">
        <v>0.05</v>
      </c>
    </row>
    <row r="154" spans="1:13">
      <c r="A154" s="27"/>
      <c r="B154" s="28"/>
      <c r="C154" s="24">
        <v>40391</v>
      </c>
      <c r="D154" s="23" t="s">
        <v>70</v>
      </c>
      <c r="E154" s="64" t="str">
        <f>IFERROR(IF(D154=計算シート!$B$7,"○",""),"")</f>
        <v/>
      </c>
      <c r="F154" s="23" t="s">
        <v>228</v>
      </c>
      <c r="G154" s="64" t="str">
        <f>IFERROR(IF(計算シート!$B$11&gt;14640,"○",""),"")</f>
        <v/>
      </c>
      <c r="H154" s="23" t="s">
        <v>232</v>
      </c>
      <c r="I154" s="64" t="str">
        <f t="shared" si="14"/>
        <v/>
      </c>
      <c r="J154" s="64">
        <v>6588</v>
      </c>
      <c r="K154" s="64" t="str">
        <f>IF(AND(計算シート!$E$3='計算式あて（再計算後）'!C154,E154="○",G154="○",I154="○"),"★","")</f>
        <v/>
      </c>
      <c r="L154" s="66" t="str">
        <f>IF(AND(計算シート!$E$5='計算式あて（再計算後）'!C154,E154="○",G154="○",I154="○"),"◆","")</f>
        <v/>
      </c>
      <c r="M154" s="23">
        <v>0.05</v>
      </c>
    </row>
    <row r="155" spans="1:13" ht="27">
      <c r="A155" s="25"/>
      <c r="B155" s="26" t="s">
        <v>307</v>
      </c>
      <c r="C155" s="24">
        <v>40026</v>
      </c>
      <c r="D155" s="23" t="s">
        <v>67</v>
      </c>
      <c r="E155" s="64" t="str">
        <f>IFERROR(IF(D155=計算シート!$B$7,"○",""),"")</f>
        <v/>
      </c>
      <c r="F155" s="23" t="s">
        <v>234</v>
      </c>
      <c r="G155" s="64" t="str">
        <f>IFERROR(IF(AND(計算シート!$B$11&gt;=2060,計算シート!$B$11&lt;4060),"○",""),"")</f>
        <v/>
      </c>
      <c r="H155" s="23" t="s">
        <v>80</v>
      </c>
      <c r="I155" s="64" t="str">
        <f>G155</f>
        <v/>
      </c>
      <c r="J155" s="64">
        <f>ROUNDDOWN(計算シート!$B$11*0.8,0)</f>
        <v>0</v>
      </c>
      <c r="K155" s="64" t="str">
        <f>IF(AND(計算シート!$E$3='計算式あて（再計算後）'!C155,E155="○",G155="○",I155="○"),"★","")</f>
        <v/>
      </c>
      <c r="L155" s="66" t="str">
        <f>IF(AND(計算シート!$E$5='計算式あて（再計算後）'!C155,E155="○",G155="○",I155="○"),"◆","")</f>
        <v/>
      </c>
      <c r="M155" s="23">
        <v>0.06</v>
      </c>
    </row>
    <row r="156" spans="1:13">
      <c r="A156" s="25"/>
      <c r="B156" s="25"/>
      <c r="C156" s="24">
        <v>40026</v>
      </c>
      <c r="D156" s="23" t="s">
        <v>67</v>
      </c>
      <c r="E156" s="64" t="str">
        <f>IFERROR(IF(D156=計算シート!$B$7,"○",""),"")</f>
        <v/>
      </c>
      <c r="F156" s="23" t="s">
        <v>490</v>
      </c>
      <c r="G156" s="64" t="str">
        <f>IFERROR(IF(AND(計算シート!$B$11&gt;=4060,計算シート!$B$11&lt;=11760),"○",""),"")</f>
        <v/>
      </c>
      <c r="H156" s="23" t="s">
        <v>235</v>
      </c>
      <c r="I156" s="64" t="str">
        <f t="shared" ref="I156:I167" si="15">G156</f>
        <v/>
      </c>
      <c r="J156" s="64">
        <f>ROUNDDOWN(0.8*計算シート!$B$11-0.3*((計算シート!$B$11-4060)/(11760-4060))*計算シート!$B$11,0)</f>
        <v>0</v>
      </c>
      <c r="K156" s="64" t="str">
        <f>IF(AND(計算シート!$E$3='計算式あて（再計算後）'!C156,E156="○",G156="○",I156="○"),"★","")</f>
        <v/>
      </c>
      <c r="L156" s="66" t="str">
        <f>IF(AND(計算シート!$E$5='計算式あて（再計算後）'!C156,E156="○",G156="○",I156="○"),"◆","")</f>
        <v/>
      </c>
      <c r="M156" s="23">
        <v>0.06</v>
      </c>
    </row>
    <row r="157" spans="1:13">
      <c r="A157" s="25"/>
      <c r="B157" s="25"/>
      <c r="C157" s="24">
        <v>40026</v>
      </c>
      <c r="D157" s="23" t="s">
        <v>67</v>
      </c>
      <c r="E157" s="64" t="str">
        <f>IFERROR(IF(D157=計算シート!$B$7,"○",""),"")</f>
        <v/>
      </c>
      <c r="F157" s="23" t="s">
        <v>491</v>
      </c>
      <c r="G157" s="64" t="str">
        <f>IFERROR(IF(AND(計算シート!$B$11&gt;11760,計算シート!$B$11&lt;=12660),"○",""),"")</f>
        <v/>
      </c>
      <c r="H157" s="23" t="s">
        <v>82</v>
      </c>
      <c r="I157" s="64" t="str">
        <f t="shared" si="15"/>
        <v/>
      </c>
      <c r="J157" s="64">
        <f>ROUNDDOWN(計算シート!$B$11*0.5,0)</f>
        <v>0</v>
      </c>
      <c r="K157" s="64" t="str">
        <f>IF(AND(計算シート!$E$3='計算式あて（再計算後）'!C157,E157="○",G157="○",I157="○"),"★","")</f>
        <v/>
      </c>
      <c r="L157" s="66" t="str">
        <f>IF(AND(計算シート!$E$5='計算式あて（再計算後）'!C157,E157="○",G157="○",I157="○"),"◆","")</f>
        <v/>
      </c>
      <c r="M157" s="23">
        <v>0.06</v>
      </c>
    </row>
    <row r="158" spans="1:13">
      <c r="A158" s="25"/>
      <c r="B158" s="25"/>
      <c r="C158" s="24">
        <v>40026</v>
      </c>
      <c r="D158" s="23" t="s">
        <v>67</v>
      </c>
      <c r="E158" s="64" t="str">
        <f>IFERROR(IF(D158=計算シート!$B$7,"○",""),"")</f>
        <v/>
      </c>
      <c r="F158" s="23" t="s">
        <v>241</v>
      </c>
      <c r="G158" s="64" t="str">
        <f>IFERROR(IF(計算シート!$B$11&gt;12660,"○",""),"")</f>
        <v/>
      </c>
      <c r="H158" s="23" t="s">
        <v>245</v>
      </c>
      <c r="I158" s="64" t="str">
        <f t="shared" si="15"/>
        <v/>
      </c>
      <c r="J158" s="64">
        <v>6330</v>
      </c>
      <c r="K158" s="64" t="str">
        <f>IF(AND(計算シート!$E$3='計算式あて（再計算後）'!C158,E158="○",G158="○",I158="○"),"★","")</f>
        <v/>
      </c>
      <c r="L158" s="66" t="str">
        <f>IF(AND(計算シート!$E$5='計算式あて（再計算後）'!C158,E158="○",G158="○",I158="○"),"◆","")</f>
        <v/>
      </c>
      <c r="M158" s="23">
        <v>0.06</v>
      </c>
    </row>
    <row r="159" spans="1:13">
      <c r="A159" s="25"/>
      <c r="B159" s="25"/>
      <c r="C159" s="24">
        <v>40026</v>
      </c>
      <c r="D159" s="23" t="s">
        <v>68</v>
      </c>
      <c r="E159" s="64" t="str">
        <f>IFERROR(IF(D159=計算シート!$B$7,"○",""),"")</f>
        <v/>
      </c>
      <c r="F159" s="23" t="s">
        <v>234</v>
      </c>
      <c r="G159" s="64" t="str">
        <f>IFERROR(IF(AND(計算シート!$B$11&gt;=2060,計算シート!$B$11&lt;4060),"○",""),"")</f>
        <v/>
      </c>
      <c r="H159" s="23" t="s">
        <v>80</v>
      </c>
      <c r="I159" s="64" t="str">
        <f t="shared" si="15"/>
        <v/>
      </c>
      <c r="J159" s="64">
        <f>ROUNDDOWN(計算シート!$B$11*0.8,0)</f>
        <v>0</v>
      </c>
      <c r="K159" s="64" t="str">
        <f>IF(AND(計算シート!$E$3='計算式あて（再計算後）'!C159,E159="○",G159="○",I159="○"),"★","")</f>
        <v/>
      </c>
      <c r="L159" s="66" t="str">
        <f>IF(AND(計算シート!$E$5='計算式あて（再計算後）'!C159,E159="○",G159="○",I159="○"),"◆","")</f>
        <v/>
      </c>
      <c r="M159" s="23">
        <v>0.06</v>
      </c>
    </row>
    <row r="160" spans="1:13">
      <c r="A160" s="25"/>
      <c r="B160" s="25"/>
      <c r="C160" s="24">
        <v>40026</v>
      </c>
      <c r="D160" s="23" t="s">
        <v>68</v>
      </c>
      <c r="E160" s="64" t="str">
        <f>IFERROR(IF(D160=計算シート!$B$7,"○",""),"")</f>
        <v/>
      </c>
      <c r="F160" s="23" t="s">
        <v>492</v>
      </c>
      <c r="G160" s="64" t="str">
        <f>IFERROR(IF(AND(計算シート!$B$11&gt;=4060,計算シート!$B$11&lt;=11760),"○",""),"")</f>
        <v/>
      </c>
      <c r="H160" s="23" t="s">
        <v>235</v>
      </c>
      <c r="I160" s="64" t="str">
        <f t="shared" si="15"/>
        <v/>
      </c>
      <c r="J160" s="64">
        <f>ROUNDDOWN(0.8*計算シート!$B$11-0.3*((計算シート!$B$11-4060)/(11760-4060))*計算シート!$B$11,0)</f>
        <v>0</v>
      </c>
      <c r="K160" s="64" t="str">
        <f>IF(AND(計算シート!$E$3='計算式あて（再計算後）'!C160,E160="○",G160="○",I160="○"),"★","")</f>
        <v/>
      </c>
      <c r="L160" s="66" t="str">
        <f>IF(AND(計算シート!$E$5='計算式あて（再計算後）'!C160,E160="○",G160="○",I160="○"),"◆","")</f>
        <v/>
      </c>
      <c r="M160" s="23">
        <v>0.06</v>
      </c>
    </row>
    <row r="161" spans="1:13">
      <c r="A161" s="25"/>
      <c r="B161" s="25"/>
      <c r="C161" s="24">
        <v>40026</v>
      </c>
      <c r="D161" s="23" t="s">
        <v>68</v>
      </c>
      <c r="E161" s="64" t="str">
        <f>IFERROR(IF(D161=計算シート!$B$7,"○",""),"")</f>
        <v/>
      </c>
      <c r="F161" s="23" t="s">
        <v>493</v>
      </c>
      <c r="G161" s="64" t="str">
        <f>IFERROR(IF(AND(計算シート!$B$11&gt;11760,計算シート!$B$11&lt;=14060),"○",""),"")</f>
        <v/>
      </c>
      <c r="H161" s="23" t="s">
        <v>82</v>
      </c>
      <c r="I161" s="64" t="str">
        <f t="shared" si="15"/>
        <v/>
      </c>
      <c r="J161" s="64">
        <f>ROUNDDOWN(計算シート!$B$11*0.5,0)</f>
        <v>0</v>
      </c>
      <c r="K161" s="64" t="str">
        <f>IF(AND(計算シート!$E$3='計算式あて（再計算後）'!C161,E161="○",G161="○",I161="○"),"★","")</f>
        <v/>
      </c>
      <c r="L161" s="66" t="str">
        <f>IF(AND(計算シート!$E$5='計算式あて（再計算後）'!C161,E161="○",G161="○",I161="○"),"◆","")</f>
        <v/>
      </c>
      <c r="M161" s="23">
        <v>0.06</v>
      </c>
    </row>
    <row r="162" spans="1:13">
      <c r="A162" s="25"/>
      <c r="B162" s="25"/>
      <c r="C162" s="24">
        <v>40026</v>
      </c>
      <c r="D162" s="23" t="s">
        <v>68</v>
      </c>
      <c r="E162" s="64" t="str">
        <f>IFERROR(IF(D162=計算シート!$B$7,"○",""),"")</f>
        <v/>
      </c>
      <c r="F162" s="23" t="s">
        <v>236</v>
      </c>
      <c r="G162" s="64" t="str">
        <f>IFERROR(IF(計算シート!$B$11&gt;14060,"○",""),"")</f>
        <v/>
      </c>
      <c r="H162" s="23" t="s">
        <v>242</v>
      </c>
      <c r="I162" s="64" t="str">
        <f t="shared" si="15"/>
        <v/>
      </c>
      <c r="J162" s="64">
        <v>7030</v>
      </c>
      <c r="K162" s="64" t="str">
        <f>IF(AND(計算シート!$E$3='計算式あて（再計算後）'!C162,E162="○",G162="○",I162="○"),"★","")</f>
        <v/>
      </c>
      <c r="L162" s="66" t="str">
        <f>IF(AND(計算シート!$E$5='計算式あて（再計算後）'!C162,E162="○",G162="○",I162="○"),"◆","")</f>
        <v/>
      </c>
      <c r="M162" s="23">
        <v>0.06</v>
      </c>
    </row>
    <row r="163" spans="1:13">
      <c r="A163" s="25"/>
      <c r="B163" s="25"/>
      <c r="C163" s="24">
        <v>40026</v>
      </c>
      <c r="D163" s="23" t="s">
        <v>69</v>
      </c>
      <c r="E163" s="64" t="str">
        <f>IFERROR(IF(D163=計算シート!$B$7,"○",""),"")</f>
        <v/>
      </c>
      <c r="F163" s="23" t="s">
        <v>234</v>
      </c>
      <c r="G163" s="64" t="str">
        <f>IFERROR(IF(AND(計算シート!$B$11&gt;=2060,計算シート!$B$11&lt;4060),"○",""),"")</f>
        <v/>
      </c>
      <c r="H163" s="23" t="s">
        <v>80</v>
      </c>
      <c r="I163" s="64" t="str">
        <f t="shared" si="15"/>
        <v/>
      </c>
      <c r="J163" s="64">
        <f>ROUNDDOWN(計算シート!$B$11*0.8,0)</f>
        <v>0</v>
      </c>
      <c r="K163" s="64" t="str">
        <f>IF(AND(計算シート!$E$3='計算式あて（再計算後）'!C163,E163="○",G163="○",I163="○"),"★","")</f>
        <v/>
      </c>
      <c r="L163" s="66" t="str">
        <f>IF(AND(計算シート!$E$5='計算式あて（再計算後）'!C163,E163="○",G163="○",I163="○"),"◆","")</f>
        <v/>
      </c>
      <c r="M163" s="23">
        <v>0.06</v>
      </c>
    </row>
    <row r="164" spans="1:13">
      <c r="A164" s="25"/>
      <c r="B164" s="25"/>
      <c r="C164" s="24">
        <v>40026</v>
      </c>
      <c r="D164" s="23" t="s">
        <v>69</v>
      </c>
      <c r="E164" s="64" t="str">
        <f>IFERROR(IF(D164=計算シート!$B$7,"○",""),"")</f>
        <v/>
      </c>
      <c r="F164" s="23" t="s">
        <v>492</v>
      </c>
      <c r="G164" s="64" t="str">
        <f>IFERROR(IF(AND(計算シート!$B$11&gt;=4060,計算シート!$B$11&lt;=11760),"○",""),"")</f>
        <v/>
      </c>
      <c r="H164" s="23" t="s">
        <v>235</v>
      </c>
      <c r="I164" s="64" t="str">
        <f t="shared" si="15"/>
        <v/>
      </c>
      <c r="J164" s="64">
        <f>ROUNDDOWN(0.8*計算シート!$B$11-0.3*((計算シート!$B$11-4060)/(11760-4060))*計算シート!$B$11,0)</f>
        <v>0</v>
      </c>
      <c r="K164" s="64" t="str">
        <f>IF(AND(計算シート!$E$3='計算式あて（再計算後）'!C164,E164="○",G164="○",I164="○"),"★","")</f>
        <v/>
      </c>
      <c r="L164" s="66" t="str">
        <f>IF(AND(計算シート!$E$5='計算式あて（再計算後）'!C164,E164="○",G164="○",I164="○"),"◆","")</f>
        <v/>
      </c>
      <c r="M164" s="23">
        <v>0.06</v>
      </c>
    </row>
    <row r="165" spans="1:13">
      <c r="A165" s="25"/>
      <c r="B165" s="25"/>
      <c r="C165" s="24">
        <v>40026</v>
      </c>
      <c r="D165" s="23" t="s">
        <v>69</v>
      </c>
      <c r="E165" s="64" t="str">
        <f>IFERROR(IF(D165=計算シート!$B$7,"○",""),"")</f>
        <v/>
      </c>
      <c r="F165" s="23" t="s">
        <v>494</v>
      </c>
      <c r="G165" s="64" t="str">
        <f>IFERROR(IF(AND(計算シート!$B$11&gt;11760,計算シート!$B$11&lt;=15480),"○",""),"")</f>
        <v/>
      </c>
      <c r="H165" s="23" t="s">
        <v>82</v>
      </c>
      <c r="I165" s="64" t="str">
        <f t="shared" si="15"/>
        <v/>
      </c>
      <c r="J165" s="64">
        <f>ROUNDDOWN(計算シート!$B$11*0.5,0)</f>
        <v>0</v>
      </c>
      <c r="K165" s="64" t="str">
        <f>IF(AND(計算シート!$E$3='計算式あて（再計算後）'!C165,E165="○",G165="○",I165="○"),"★","")</f>
        <v/>
      </c>
      <c r="L165" s="66" t="str">
        <f>IF(AND(計算シート!$E$5='計算式あて（再計算後）'!C165,E165="○",G165="○",I165="○"),"◆","")</f>
        <v/>
      </c>
      <c r="M165" s="23">
        <v>0.06</v>
      </c>
    </row>
    <row r="166" spans="1:13">
      <c r="A166" s="25"/>
      <c r="B166" s="25"/>
      <c r="C166" s="24">
        <v>40026</v>
      </c>
      <c r="D166" s="23" t="s">
        <v>69</v>
      </c>
      <c r="E166" s="64" t="str">
        <f>IFERROR(IF(D166=計算シート!$B$7,"○",""),"")</f>
        <v/>
      </c>
      <c r="F166" s="23" t="s">
        <v>237</v>
      </c>
      <c r="G166" s="64" t="str">
        <f>IFERROR(IF(計算シート!$B$11&gt;15480,"○",""),"")</f>
        <v/>
      </c>
      <c r="H166" s="23" t="s">
        <v>243</v>
      </c>
      <c r="I166" s="64" t="str">
        <f t="shared" si="15"/>
        <v/>
      </c>
      <c r="J166" s="64">
        <v>7740</v>
      </c>
      <c r="K166" s="64" t="str">
        <f>IF(AND(計算シート!$E$3='計算式あて（再計算後）'!C166,E166="○",G166="○",I166="○"),"★","")</f>
        <v/>
      </c>
      <c r="L166" s="66" t="str">
        <f>IF(AND(計算シート!$E$5='計算式あて（再計算後）'!C166,E166="○",G166="○",I166="○"),"◆","")</f>
        <v/>
      </c>
      <c r="M166" s="23">
        <v>0.06</v>
      </c>
    </row>
    <row r="167" spans="1:13">
      <c r="A167" s="25"/>
      <c r="B167" s="25"/>
      <c r="C167" s="24">
        <v>40026</v>
      </c>
      <c r="D167" s="23" t="s">
        <v>70</v>
      </c>
      <c r="E167" s="64" t="str">
        <f>IFERROR(IF(D167=計算シート!$B$7,"○",""),"")</f>
        <v/>
      </c>
      <c r="F167" s="23" t="s">
        <v>234</v>
      </c>
      <c r="G167" s="64" t="str">
        <f>IFERROR(IF(AND(計算シート!$B$11&gt;=2060,計算シート!$B$11&lt;4060),"○",""),"")</f>
        <v/>
      </c>
      <c r="H167" s="23" t="s">
        <v>80</v>
      </c>
      <c r="I167" s="64" t="str">
        <f t="shared" si="15"/>
        <v/>
      </c>
      <c r="J167" s="64">
        <f>ROUNDDOWN(計算シート!$B$11*0.8,0)</f>
        <v>0</v>
      </c>
      <c r="K167" s="64" t="str">
        <f>IF(AND(計算シート!$E$3='計算式あて（再計算後）'!C167,E167="○",G167="○",I167="○"),"★","")</f>
        <v/>
      </c>
      <c r="L167" s="66" t="str">
        <f>IF(AND(計算シート!$E$5='計算式あて（再計算後）'!C167,E167="○",G167="○",I167="○"),"◆","")</f>
        <v/>
      </c>
      <c r="M167" s="23">
        <v>0.06</v>
      </c>
    </row>
    <row r="168" spans="1:13">
      <c r="A168" s="25"/>
      <c r="B168" s="25"/>
      <c r="C168" s="24">
        <v>40026</v>
      </c>
      <c r="D168" s="23" t="s">
        <v>70</v>
      </c>
      <c r="E168" s="64" t="str">
        <f>IFERROR(IF(D168=計算シート!$B$7,"○",""),"")</f>
        <v/>
      </c>
      <c r="F168" s="23" t="s">
        <v>495</v>
      </c>
      <c r="G168" s="64" t="str">
        <f>IFERROR(IF(AND(計算シート!$B$11&gt;=4060,計算シート!$B$11&lt;=10540),"○",""),"")</f>
        <v/>
      </c>
      <c r="H168" s="23" t="s">
        <v>238</v>
      </c>
      <c r="I168" s="64" t="str">
        <f>IFERROR(IF(J168&lt;J169,"○",""),"")</f>
        <v>○</v>
      </c>
      <c r="J168" s="64">
        <f>ROUNDDOWN(0.8*計算シート!$B$11-0.35*((計算シート!$B$11-4060)/(10540-4060))*計算シート!$B$11,0)</f>
        <v>0</v>
      </c>
      <c r="K168" s="64" t="str">
        <f>IF(AND(計算シート!$E$3='計算式あて（再計算後）'!C168,E168="○",G168="○",I168="○"),"★","")</f>
        <v/>
      </c>
      <c r="L168" s="66" t="str">
        <f>IF(AND(計算シート!$E$5='計算式あて（再計算後）'!C168,E168="○",G168="○",I168="○"),"◆","")</f>
        <v/>
      </c>
      <c r="M168" s="23">
        <v>0.06</v>
      </c>
    </row>
    <row r="169" spans="1:13">
      <c r="A169" s="25"/>
      <c r="B169" s="25"/>
      <c r="C169" s="24">
        <v>40026</v>
      </c>
      <c r="D169" s="23" t="s">
        <v>70</v>
      </c>
      <c r="E169" s="64" t="str">
        <f>IFERROR(IF(D169=計算シート!$B$7,"○",""),"")</f>
        <v/>
      </c>
      <c r="F169" s="23" t="s">
        <v>495</v>
      </c>
      <c r="G169" s="64" t="str">
        <f>IFERROR(IF(AND(計算シート!$B$11&gt;=4060,計算シート!$B$11&lt;=10540),"○",""),"")</f>
        <v/>
      </c>
      <c r="H169" s="23" t="s">
        <v>239</v>
      </c>
      <c r="I169" s="64" t="str">
        <f>IFERROR(IF(J169&lt;J168,"○",""),"")</f>
        <v/>
      </c>
      <c r="J169" s="64">
        <f>ROUNDDOWN(計算シート!$B$11*0.05+(10540*0.4),0)</f>
        <v>4216</v>
      </c>
      <c r="K169" s="64" t="str">
        <f>IF(AND(計算シート!$E$3='計算式あて（再計算後）'!C169,E169="○",G169="○",I169="○"),"★","")</f>
        <v/>
      </c>
      <c r="L169" s="66" t="str">
        <f>IF(AND(計算シート!$E$5='計算式あて（再計算後）'!C169,E169="○",G169="○",I169="○"),"◆","")</f>
        <v/>
      </c>
      <c r="M169" s="23">
        <v>0.06</v>
      </c>
    </row>
    <row r="170" spans="1:13">
      <c r="A170" s="25"/>
      <c r="B170" s="25"/>
      <c r="C170" s="24">
        <v>40026</v>
      </c>
      <c r="D170" s="23" t="s">
        <v>70</v>
      </c>
      <c r="E170" s="64" t="str">
        <f>IFERROR(IF(D170=計算シート!$B$7,"○",""),"")</f>
        <v/>
      </c>
      <c r="F170" s="23" t="s">
        <v>240</v>
      </c>
      <c r="G170" s="64" t="str">
        <f>IFERROR(IF(AND(計算シート!$B$11&gt;10540,計算シート!$B$11&lt;=14990),"○",""),"")</f>
        <v/>
      </c>
      <c r="H170" s="23" t="s">
        <v>84</v>
      </c>
      <c r="I170" s="64" t="str">
        <f t="shared" ref="I170:I171" si="16">G170</f>
        <v/>
      </c>
      <c r="J170" s="64">
        <f>ROUNDDOWN(計算シート!$B$11*0.45,0)</f>
        <v>0</v>
      </c>
      <c r="K170" s="64" t="str">
        <f>IF(AND(計算シート!$E$3='計算式あて（再計算後）'!C170,E170="○",G170="○",I170="○"),"★","")</f>
        <v/>
      </c>
      <c r="L170" s="66" t="str">
        <f>IF(AND(計算シート!$E$5='計算式あて（再計算後）'!C170,E170="○",G170="○",I170="○"),"◆","")</f>
        <v/>
      </c>
      <c r="M170" s="23">
        <v>0.06</v>
      </c>
    </row>
    <row r="171" spans="1:13">
      <c r="A171" s="27"/>
      <c r="B171" s="28"/>
      <c r="C171" s="24">
        <v>40026</v>
      </c>
      <c r="D171" s="23" t="s">
        <v>70</v>
      </c>
      <c r="E171" s="64" t="str">
        <f>IFERROR(IF(D171=計算シート!$B$7,"○",""),"")</f>
        <v/>
      </c>
      <c r="F171" s="23" t="s">
        <v>128</v>
      </c>
      <c r="G171" s="64" t="str">
        <f>IFERROR(IF(計算シート!$B$11&gt;14990,"○",""),"")</f>
        <v/>
      </c>
      <c r="H171" s="23" t="s">
        <v>244</v>
      </c>
      <c r="I171" s="64" t="str">
        <f t="shared" si="16"/>
        <v/>
      </c>
      <c r="J171" s="64">
        <v>6745</v>
      </c>
      <c r="K171" s="64" t="str">
        <f>IF(AND(計算シート!$E$3='計算式あて（再計算後）'!C171,E171="○",G171="○",I171="○"),"★","")</f>
        <v/>
      </c>
      <c r="L171" s="66" t="str">
        <f>IF(AND(計算シート!$E$5='計算式あて（再計算後）'!C171,E171="○",G171="○",I171="○"),"◆","")</f>
        <v/>
      </c>
      <c r="M171" s="23">
        <v>0.06</v>
      </c>
    </row>
    <row r="172" spans="1:13" ht="27">
      <c r="A172" s="25"/>
      <c r="B172" s="26" t="s">
        <v>308</v>
      </c>
      <c r="C172" s="24">
        <v>39661</v>
      </c>
      <c r="D172" s="23" t="s">
        <v>67</v>
      </c>
      <c r="E172" s="64" t="str">
        <f>IFERROR(IF(D172=計算シート!$B$7,"○",""),"")</f>
        <v/>
      </c>
      <c r="F172" s="23" t="s">
        <v>246</v>
      </c>
      <c r="G172" s="64" t="str">
        <f>IFERROR(IF(AND(計算シート!$B$11&gt;=2070,計算シート!$B$11&lt;4080),"○",""),"")</f>
        <v/>
      </c>
      <c r="H172" s="23" t="s">
        <v>80</v>
      </c>
      <c r="I172" s="64" t="str">
        <f>G172</f>
        <v/>
      </c>
      <c r="J172" s="64">
        <f>ROUNDDOWN(計算シート!$B$11*0.8,0)</f>
        <v>0</v>
      </c>
      <c r="K172" s="64" t="str">
        <f>IF(AND(計算シート!$E$3='計算式あて（再計算後）'!C172,E172="○",G172="○",I172="○"),"★","")</f>
        <v/>
      </c>
      <c r="L172" s="66" t="str">
        <f>IF(AND(計算シート!$E$5='計算式あて（再計算後）'!C172,E172="○",G172="○",I172="○"),"◆","")</f>
        <v/>
      </c>
      <c r="M172" s="23">
        <v>0.08</v>
      </c>
    </row>
    <row r="173" spans="1:13">
      <c r="A173" s="25"/>
      <c r="B173" s="25"/>
      <c r="C173" s="24">
        <v>39661</v>
      </c>
      <c r="D173" s="23" t="s">
        <v>67</v>
      </c>
      <c r="E173" s="64" t="str">
        <f>IFERROR(IF(D173=計算シート!$B$7,"○",""),"")</f>
        <v/>
      </c>
      <c r="F173" s="23" t="s">
        <v>496</v>
      </c>
      <c r="G173" s="64" t="str">
        <f>IFERROR(IF(AND(計算シート!$B$11&gt;=4080,計算シート!$B$11&lt;=11830),"○",""),"")</f>
        <v/>
      </c>
      <c r="H173" s="23" t="s">
        <v>247</v>
      </c>
      <c r="I173" s="64" t="str">
        <f t="shared" ref="I173:I184" si="17">G173</f>
        <v/>
      </c>
      <c r="J173" s="64">
        <f>ROUNDDOWN(0.8*計算シート!$B$11-0.3*((計算シート!$B$11-4080)/(11830-4080))*計算シート!$B$11,0)</f>
        <v>0</v>
      </c>
      <c r="K173" s="64" t="str">
        <f>IF(AND(計算シート!$E$3='計算式あて（再計算後）'!C173,E173="○",G173="○",I173="○"),"★","")</f>
        <v/>
      </c>
      <c r="L173" s="66" t="str">
        <f>IF(AND(計算シート!$E$5='計算式あて（再計算後）'!C173,E173="○",G173="○",I173="○"),"◆","")</f>
        <v/>
      </c>
      <c r="M173" s="23">
        <v>0.08</v>
      </c>
    </row>
    <row r="174" spans="1:13">
      <c r="A174" s="25"/>
      <c r="B174" s="25"/>
      <c r="C174" s="24">
        <v>39661</v>
      </c>
      <c r="D174" s="23" t="s">
        <v>67</v>
      </c>
      <c r="E174" s="64" t="str">
        <f>IFERROR(IF(D174=計算シート!$B$7,"○",""),"")</f>
        <v/>
      </c>
      <c r="F174" s="23" t="s">
        <v>497</v>
      </c>
      <c r="G174" s="64" t="str">
        <f>IFERROR(IF(AND(計算シート!$B$11&gt;11830,計算シート!$B$11&lt;=12740),"○",""),"")</f>
        <v/>
      </c>
      <c r="H174" s="23" t="s">
        <v>82</v>
      </c>
      <c r="I174" s="64" t="str">
        <f t="shared" si="17"/>
        <v/>
      </c>
      <c r="J174" s="64">
        <f>ROUNDDOWN(計算シート!$B$11*0.5,0)</f>
        <v>0</v>
      </c>
      <c r="K174" s="64" t="str">
        <f>IF(AND(計算シート!$E$3='計算式あて（再計算後）'!C174,E174="○",G174="○",I174="○"),"★","")</f>
        <v/>
      </c>
      <c r="L174" s="66" t="str">
        <f>IF(AND(計算シート!$E$5='計算式あて（再計算後）'!C174,E174="○",G174="○",I174="○"),"◆","")</f>
        <v/>
      </c>
      <c r="M174" s="23">
        <v>0.08</v>
      </c>
    </row>
    <row r="175" spans="1:13">
      <c r="A175" s="25"/>
      <c r="B175" s="25"/>
      <c r="C175" s="24">
        <v>39661</v>
      </c>
      <c r="D175" s="23" t="s">
        <v>67</v>
      </c>
      <c r="E175" s="64" t="str">
        <f>IFERROR(IF(D175=計算シート!$B$7,"○",""),"")</f>
        <v/>
      </c>
      <c r="F175" s="23" t="s">
        <v>252</v>
      </c>
      <c r="G175" s="64" t="str">
        <f>IFERROR(IF(計算シート!$B$11&gt;12740,"○",""),"")</f>
        <v/>
      </c>
      <c r="H175" s="23" t="s">
        <v>255</v>
      </c>
      <c r="I175" s="64" t="str">
        <f t="shared" si="17"/>
        <v/>
      </c>
      <c r="J175" s="64">
        <v>6370</v>
      </c>
      <c r="K175" s="64" t="str">
        <f>IF(AND(計算シート!$E$3='計算式あて（再計算後）'!C175,E175="○",G175="○",I175="○"),"★","")</f>
        <v/>
      </c>
      <c r="L175" s="66" t="str">
        <f>IF(AND(計算シート!$E$5='計算式あて（再計算後）'!C175,E175="○",G175="○",I175="○"),"◆","")</f>
        <v/>
      </c>
      <c r="M175" s="23">
        <v>0.08</v>
      </c>
    </row>
    <row r="176" spans="1:13">
      <c r="A176" s="25"/>
      <c r="B176" s="25"/>
      <c r="C176" s="24">
        <v>39661</v>
      </c>
      <c r="D176" s="23" t="s">
        <v>68</v>
      </c>
      <c r="E176" s="64" t="str">
        <f>IFERROR(IF(D176=計算シート!$B$7,"○",""),"")</f>
        <v/>
      </c>
      <c r="F176" s="23" t="s">
        <v>246</v>
      </c>
      <c r="G176" s="64" t="str">
        <f>IFERROR(IF(AND(計算シート!$B$11&gt;=2070,計算シート!$B$11&lt;4080),"○",""),"")</f>
        <v/>
      </c>
      <c r="H176" s="23" t="s">
        <v>80</v>
      </c>
      <c r="I176" s="64" t="str">
        <f t="shared" si="17"/>
        <v/>
      </c>
      <c r="J176" s="64">
        <f>ROUNDDOWN(計算シート!$B$11*0.8,0)</f>
        <v>0</v>
      </c>
      <c r="K176" s="64" t="str">
        <f>IF(AND(計算シート!$E$3='計算式あて（再計算後）'!C176,E176="○",G176="○",I176="○"),"★","")</f>
        <v/>
      </c>
      <c r="L176" s="66" t="str">
        <f>IF(AND(計算シート!$E$5='計算式あて（再計算後）'!C176,E176="○",G176="○",I176="○"),"◆","")</f>
        <v/>
      </c>
      <c r="M176" s="23">
        <v>0.08</v>
      </c>
    </row>
    <row r="177" spans="1:13">
      <c r="A177" s="25"/>
      <c r="B177" s="25"/>
      <c r="C177" s="24">
        <v>39661</v>
      </c>
      <c r="D177" s="23" t="s">
        <v>68</v>
      </c>
      <c r="E177" s="64" t="str">
        <f>IFERROR(IF(D177=計算シート!$B$7,"○",""),"")</f>
        <v/>
      </c>
      <c r="F177" s="23" t="s">
        <v>496</v>
      </c>
      <c r="G177" s="64" t="str">
        <f>IFERROR(IF(AND(計算シート!$B$11&gt;=4080,計算シート!$B$11&lt;=11830),"○",""),"")</f>
        <v/>
      </c>
      <c r="H177" s="23" t="s">
        <v>247</v>
      </c>
      <c r="I177" s="64" t="str">
        <f t="shared" si="17"/>
        <v/>
      </c>
      <c r="J177" s="64">
        <f>ROUNDDOWN(0.8*計算シート!$B$11-0.3*((計算シート!$B$11-4080)/(11830-4080))*計算シート!$B$11,0)</f>
        <v>0</v>
      </c>
      <c r="K177" s="64" t="str">
        <f>IF(AND(計算シート!$E$3='計算式あて（再計算後）'!C177,E177="○",G177="○",I177="○"),"★","")</f>
        <v/>
      </c>
      <c r="L177" s="66" t="str">
        <f>IF(AND(計算シート!$E$5='計算式あて（再計算後）'!C177,E177="○",G177="○",I177="○"),"◆","")</f>
        <v/>
      </c>
      <c r="M177" s="23">
        <v>0.08</v>
      </c>
    </row>
    <row r="178" spans="1:13">
      <c r="A178" s="25"/>
      <c r="B178" s="25"/>
      <c r="C178" s="24">
        <v>39661</v>
      </c>
      <c r="D178" s="23" t="s">
        <v>68</v>
      </c>
      <c r="E178" s="64" t="str">
        <f>IFERROR(IF(D178=計算シート!$B$7,"○",""),"")</f>
        <v/>
      </c>
      <c r="F178" s="23" t="s">
        <v>498</v>
      </c>
      <c r="G178" s="64" t="str">
        <f>IFERROR(IF(AND(計算シート!$B$11&gt;11830,計算シート!$B$11&lt;=14140),"○",""),"")</f>
        <v/>
      </c>
      <c r="H178" s="23" t="s">
        <v>82</v>
      </c>
      <c r="I178" s="64" t="str">
        <f t="shared" si="17"/>
        <v/>
      </c>
      <c r="J178" s="64">
        <f>ROUNDDOWN(計算シート!$B$11*0.5,0)</f>
        <v>0</v>
      </c>
      <c r="K178" s="64" t="str">
        <f>IF(AND(計算シート!$E$3='計算式あて（再計算後）'!C178,E178="○",G178="○",I178="○"),"★","")</f>
        <v/>
      </c>
      <c r="L178" s="66" t="str">
        <f>IF(AND(計算シート!$E$5='計算式あて（再計算後）'!C178,E178="○",G178="○",I178="○"),"◆","")</f>
        <v/>
      </c>
      <c r="M178" s="23">
        <v>0.08</v>
      </c>
    </row>
    <row r="179" spans="1:13">
      <c r="A179" s="25"/>
      <c r="B179" s="25"/>
      <c r="C179" s="24">
        <v>39661</v>
      </c>
      <c r="D179" s="23" t="s">
        <v>68</v>
      </c>
      <c r="E179" s="64" t="str">
        <f>IFERROR(IF(D179=計算シート!$B$7,"○",""),"")</f>
        <v/>
      </c>
      <c r="F179" s="23" t="s">
        <v>248</v>
      </c>
      <c r="G179" s="64" t="str">
        <f>IFERROR(IF(計算シート!$B$11&gt;14140,"○",""),"")</f>
        <v/>
      </c>
      <c r="H179" s="23" t="s">
        <v>253</v>
      </c>
      <c r="I179" s="64" t="str">
        <f t="shared" si="17"/>
        <v/>
      </c>
      <c r="J179" s="64">
        <v>7070</v>
      </c>
      <c r="K179" s="64" t="str">
        <f>IF(AND(計算シート!$E$3='計算式あて（再計算後）'!C179,E179="○",G179="○",I179="○"),"★","")</f>
        <v/>
      </c>
      <c r="L179" s="66" t="str">
        <f>IF(AND(計算シート!$E$5='計算式あて（再計算後）'!C179,E179="○",G179="○",I179="○"),"◆","")</f>
        <v/>
      </c>
      <c r="M179" s="23">
        <v>0.08</v>
      </c>
    </row>
    <row r="180" spans="1:13">
      <c r="A180" s="25"/>
      <c r="B180" s="25"/>
      <c r="C180" s="24">
        <v>39661</v>
      </c>
      <c r="D180" s="23" t="s">
        <v>69</v>
      </c>
      <c r="E180" s="64" t="str">
        <f>IFERROR(IF(D180=計算シート!$B$7,"○",""),"")</f>
        <v/>
      </c>
      <c r="F180" s="23" t="s">
        <v>246</v>
      </c>
      <c r="G180" s="64" t="str">
        <f>IFERROR(IF(AND(計算シート!$B$11&gt;=2070,計算シート!$B$11&lt;4080),"○",""),"")</f>
        <v/>
      </c>
      <c r="H180" s="23" t="s">
        <v>80</v>
      </c>
      <c r="I180" s="64" t="str">
        <f t="shared" si="17"/>
        <v/>
      </c>
      <c r="J180" s="64">
        <f>ROUNDDOWN(計算シート!$B$11*0.8,0)</f>
        <v>0</v>
      </c>
      <c r="K180" s="64" t="str">
        <f>IF(AND(計算シート!$E$3='計算式あて（再計算後）'!C180,E180="○",G180="○",I180="○"),"★","")</f>
        <v/>
      </c>
      <c r="L180" s="66" t="str">
        <f>IF(AND(計算シート!$E$5='計算式あて（再計算後）'!C180,E180="○",G180="○",I180="○"),"◆","")</f>
        <v/>
      </c>
      <c r="M180" s="23">
        <v>0.08</v>
      </c>
    </row>
    <row r="181" spans="1:13">
      <c r="A181" s="25"/>
      <c r="B181" s="25"/>
      <c r="C181" s="24">
        <v>39661</v>
      </c>
      <c r="D181" s="23" t="s">
        <v>69</v>
      </c>
      <c r="E181" s="64" t="str">
        <f>IFERROR(IF(D181=計算シート!$B$7,"○",""),"")</f>
        <v/>
      </c>
      <c r="F181" s="23" t="s">
        <v>496</v>
      </c>
      <c r="G181" s="64" t="str">
        <f>IFERROR(IF(AND(計算シート!$B$11&gt;=4080,計算シート!$B$11&lt;=11830),"○",""),"")</f>
        <v/>
      </c>
      <c r="H181" s="23" t="s">
        <v>247</v>
      </c>
      <c r="I181" s="64" t="str">
        <f t="shared" si="17"/>
        <v/>
      </c>
      <c r="J181" s="64">
        <f>ROUNDDOWN(0.8*計算シート!$B$11-0.3*((計算シート!$B$11-4080)/(11830-4080))*計算シート!$B$11,0)</f>
        <v>0</v>
      </c>
      <c r="K181" s="64" t="str">
        <f>IF(AND(計算シート!$E$3='計算式あて（再計算後）'!C181,E181="○",G181="○",I181="○"),"★","")</f>
        <v/>
      </c>
      <c r="L181" s="66" t="str">
        <f>IF(AND(計算シート!$E$5='計算式あて（再計算後）'!C181,E181="○",G181="○",I181="○"),"◆","")</f>
        <v/>
      </c>
      <c r="M181" s="23">
        <v>0.08</v>
      </c>
    </row>
    <row r="182" spans="1:13">
      <c r="A182" s="25"/>
      <c r="B182" s="25"/>
      <c r="C182" s="24">
        <v>39661</v>
      </c>
      <c r="D182" s="23" t="s">
        <v>69</v>
      </c>
      <c r="E182" s="64" t="str">
        <f>IFERROR(IF(D182=計算シート!$B$7,"○",""),"")</f>
        <v/>
      </c>
      <c r="F182" s="23" t="s">
        <v>499</v>
      </c>
      <c r="G182" s="64" t="str">
        <f>IFERROR(IF(AND(計算シート!$B$11&gt;11830,計算シート!$B$11&lt;=15570),"○",""),"")</f>
        <v/>
      </c>
      <c r="H182" s="23" t="s">
        <v>82</v>
      </c>
      <c r="I182" s="64" t="str">
        <f t="shared" si="17"/>
        <v/>
      </c>
      <c r="J182" s="64">
        <f>ROUNDDOWN(計算シート!$B$11*0.5,0)</f>
        <v>0</v>
      </c>
      <c r="K182" s="64" t="str">
        <f>IF(AND(計算シート!$E$3='計算式あて（再計算後）'!C182,E182="○",G182="○",I182="○"),"★","")</f>
        <v/>
      </c>
      <c r="L182" s="66" t="str">
        <f>IF(AND(計算シート!$E$5='計算式あて（再計算後）'!C182,E182="○",G182="○",I182="○"),"◆","")</f>
        <v/>
      </c>
      <c r="M182" s="23">
        <v>0.08</v>
      </c>
    </row>
    <row r="183" spans="1:13">
      <c r="A183" s="25"/>
      <c r="B183" s="25"/>
      <c r="C183" s="24">
        <v>39661</v>
      </c>
      <c r="D183" s="23" t="s">
        <v>69</v>
      </c>
      <c r="E183" s="64" t="str">
        <f>IFERROR(IF(D183=計算シート!$B$7,"○",""),"")</f>
        <v/>
      </c>
      <c r="F183" s="23" t="s">
        <v>118</v>
      </c>
      <c r="G183" s="64" t="str">
        <f>IFERROR(IF(計算シート!$B$11&gt;15570,"○",""),"")</f>
        <v/>
      </c>
      <c r="H183" s="23" t="s">
        <v>112</v>
      </c>
      <c r="I183" s="64" t="str">
        <f t="shared" si="17"/>
        <v/>
      </c>
      <c r="J183" s="64">
        <v>7785</v>
      </c>
      <c r="K183" s="64" t="str">
        <f>IF(AND(計算シート!$E$3='計算式あて（再計算後）'!C183,E183="○",G183="○",I183="○"),"★","")</f>
        <v/>
      </c>
      <c r="L183" s="66" t="str">
        <f>IF(AND(計算シート!$E$5='計算式あて（再計算後）'!C183,E183="○",G183="○",I183="○"),"◆","")</f>
        <v/>
      </c>
      <c r="M183" s="23">
        <v>0.08</v>
      </c>
    </row>
    <row r="184" spans="1:13">
      <c r="A184" s="25"/>
      <c r="B184" s="25"/>
      <c r="C184" s="24">
        <v>39661</v>
      </c>
      <c r="D184" s="23" t="s">
        <v>70</v>
      </c>
      <c r="E184" s="64" t="str">
        <f>IFERROR(IF(D184=計算シート!$B$7,"○",""),"")</f>
        <v/>
      </c>
      <c r="F184" s="23" t="s">
        <v>246</v>
      </c>
      <c r="G184" s="64" t="str">
        <f>IFERROR(IF(AND(計算シート!$B$11&gt;=2070,計算シート!$B$11&lt;4080),"○",""),"")</f>
        <v/>
      </c>
      <c r="H184" s="23" t="s">
        <v>80</v>
      </c>
      <c r="I184" s="64" t="str">
        <f t="shared" si="17"/>
        <v/>
      </c>
      <c r="J184" s="64">
        <f>ROUNDDOWN(計算シート!$B$11*0.8,0)</f>
        <v>0</v>
      </c>
      <c r="K184" s="64" t="str">
        <f>IF(AND(計算シート!$E$3='計算式あて（再計算後）'!C184,E184="○",G184="○",I184="○"),"★","")</f>
        <v/>
      </c>
      <c r="L184" s="66" t="str">
        <f>IF(AND(計算シート!$E$5='計算式あて（再計算後）'!C184,E184="○",G184="○",I184="○"),"◆","")</f>
        <v/>
      </c>
      <c r="M184" s="23">
        <v>0.08</v>
      </c>
    </row>
    <row r="185" spans="1:13">
      <c r="A185" s="25"/>
      <c r="B185" s="25"/>
      <c r="C185" s="24">
        <v>39661</v>
      </c>
      <c r="D185" s="23" t="s">
        <v>70</v>
      </c>
      <c r="E185" s="64" t="str">
        <f>IFERROR(IF(D185=計算シート!$B$7,"○",""),"")</f>
        <v/>
      </c>
      <c r="F185" s="23" t="s">
        <v>500</v>
      </c>
      <c r="G185" s="64" t="str">
        <f>IFERROR(IF(AND(計算シート!$B$11&gt;=4080,計算シート!$B$11&lt;=10600),"○",""),"")</f>
        <v/>
      </c>
      <c r="H185" s="23" t="s">
        <v>249</v>
      </c>
      <c r="I185" s="64" t="str">
        <f>IFERROR(IF(J185&lt;J186,"○",""),"")</f>
        <v>○</v>
      </c>
      <c r="J185" s="64">
        <f>ROUNDDOWN(0.8*計算シート!$B$11-0.35*((計算シート!$B$11-4080)/(10600-4080))*計算シート!$B$11,0)</f>
        <v>0</v>
      </c>
      <c r="K185" s="64" t="str">
        <f>IF(AND(計算シート!$E$3='計算式あて（再計算後）'!C185,E185="○",G185="○",I185="○"),"★","")</f>
        <v/>
      </c>
      <c r="L185" s="66" t="str">
        <f>IF(AND(計算シート!$E$5='計算式あて（再計算後）'!C185,E185="○",G185="○",I185="○"),"◆","")</f>
        <v/>
      </c>
      <c r="M185" s="23">
        <v>0.08</v>
      </c>
    </row>
    <row r="186" spans="1:13">
      <c r="A186" s="25"/>
      <c r="B186" s="25"/>
      <c r="C186" s="24">
        <v>39661</v>
      </c>
      <c r="D186" s="23" t="s">
        <v>70</v>
      </c>
      <c r="E186" s="64" t="str">
        <f>IFERROR(IF(D186=計算シート!$B$7,"○",""),"")</f>
        <v/>
      </c>
      <c r="F186" s="23" t="s">
        <v>500</v>
      </c>
      <c r="G186" s="64" t="str">
        <f>IFERROR(IF(AND(計算シート!$B$11&gt;=4080,計算シート!$B$11&lt;=10600),"○",""),"")</f>
        <v/>
      </c>
      <c r="H186" s="23" t="s">
        <v>212</v>
      </c>
      <c r="I186" s="64" t="str">
        <f>IFERROR(IF(J186&lt;J185,"○",""),"")</f>
        <v/>
      </c>
      <c r="J186" s="64">
        <f>ROUNDDOWN(計算シート!$B$11*0.05+(10600*0.4),0)</f>
        <v>4240</v>
      </c>
      <c r="K186" s="64" t="str">
        <f>IF(AND(計算シート!$E$3='計算式あて（再計算後）'!C186,E186="○",G186="○",I186="○"),"★","")</f>
        <v/>
      </c>
      <c r="L186" s="66" t="str">
        <f>IF(AND(計算シート!$E$5='計算式あて（再計算後）'!C186,E186="○",G186="○",I186="○"),"◆","")</f>
        <v/>
      </c>
      <c r="M186" s="23">
        <v>0.08</v>
      </c>
    </row>
    <row r="187" spans="1:13">
      <c r="A187" s="25"/>
      <c r="B187" s="25"/>
      <c r="C187" s="24">
        <v>39661</v>
      </c>
      <c r="D187" s="23" t="s">
        <v>70</v>
      </c>
      <c r="E187" s="64" t="str">
        <f>IFERROR(IF(D187=計算シート!$B$7,"○",""),"")</f>
        <v/>
      </c>
      <c r="F187" s="23" t="s">
        <v>250</v>
      </c>
      <c r="G187" s="64" t="str">
        <f>IFERROR(IF(AND(計算シート!$B$11&gt;10600,計算シート!$B$11&lt;=15080),"○",""),"")</f>
        <v/>
      </c>
      <c r="H187" s="23" t="s">
        <v>84</v>
      </c>
      <c r="I187" s="64" t="str">
        <f t="shared" ref="I187:I188" si="18">G187</f>
        <v/>
      </c>
      <c r="J187" s="64">
        <f>ROUNDDOWN(計算シート!$B$11*0.45,0)</f>
        <v>0</v>
      </c>
      <c r="K187" s="64" t="str">
        <f>IF(AND(計算シート!$E$3='計算式あて（再計算後）'!C187,E187="○",G187="○",I187="○"),"★","")</f>
        <v/>
      </c>
      <c r="L187" s="66" t="str">
        <f>IF(AND(計算シート!$E$5='計算式あて（再計算後）'!C187,E187="○",G187="○",I187="○"),"◆","")</f>
        <v/>
      </c>
      <c r="M187" s="23">
        <v>0.08</v>
      </c>
    </row>
    <row r="188" spans="1:13">
      <c r="A188" s="27"/>
      <c r="B188" s="28"/>
      <c r="C188" s="24">
        <v>39661</v>
      </c>
      <c r="D188" s="23" t="s">
        <v>70</v>
      </c>
      <c r="E188" s="64" t="str">
        <f>IFERROR(IF(D188=計算シート!$B$7,"○",""),"")</f>
        <v/>
      </c>
      <c r="F188" s="23" t="s">
        <v>251</v>
      </c>
      <c r="G188" s="64" t="str">
        <f>IFERROR(IF(計算シート!$B$11&gt;15080,"○",""),"")</f>
        <v/>
      </c>
      <c r="H188" s="23" t="s">
        <v>254</v>
      </c>
      <c r="I188" s="64" t="str">
        <f t="shared" si="18"/>
        <v/>
      </c>
      <c r="J188" s="64">
        <v>6786</v>
      </c>
      <c r="K188" s="64" t="str">
        <f>IF(AND(計算シート!$E$3='計算式あて（再計算後）'!C188,E188="○",G188="○",I188="○"),"★","")</f>
        <v/>
      </c>
      <c r="L188" s="66" t="str">
        <f>IF(AND(計算シート!$E$5='計算式あて（再計算後）'!C188,E188="○",G188="○",I188="○"),"◆","")</f>
        <v/>
      </c>
      <c r="M188" s="23">
        <v>0.08</v>
      </c>
    </row>
    <row r="189" spans="1:13" ht="27">
      <c r="A189" s="25"/>
      <c r="B189" s="26" t="s">
        <v>309</v>
      </c>
      <c r="C189" s="24">
        <v>39295</v>
      </c>
      <c r="D189" s="23" t="s">
        <v>67</v>
      </c>
      <c r="E189" s="64" t="str">
        <f>IFERROR(IF(D189=計算シート!$B$7,"○",""),"")</f>
        <v/>
      </c>
      <c r="F189" s="23" t="s">
        <v>256</v>
      </c>
      <c r="G189" s="64" t="str">
        <f>IFERROR(IF(AND(計算シート!$B$11&gt;=2080,計算シート!$B$11&lt;4100),"○",""),"")</f>
        <v/>
      </c>
      <c r="H189" s="23" t="s">
        <v>80</v>
      </c>
      <c r="I189" s="64" t="str">
        <f>G189</f>
        <v/>
      </c>
      <c r="J189" s="64">
        <f>ROUNDDOWN(計算シート!$B$11*0.8,0)</f>
        <v>0</v>
      </c>
      <c r="K189" s="64" t="str">
        <f>IF(AND(計算シート!$E$3='計算式あて（再計算後）'!C189,E189="○",G189="○",I189="○"),"★","")</f>
        <v/>
      </c>
      <c r="L189" s="66" t="str">
        <f>IF(AND(計算シート!$E$5='計算式あて（再計算後）'!C189,E189="○",G189="○",I189="○"),"◆","")</f>
        <v/>
      </c>
      <c r="M189" s="23">
        <v>0.09</v>
      </c>
    </row>
    <row r="190" spans="1:13">
      <c r="A190" s="25"/>
      <c r="B190" s="25"/>
      <c r="C190" s="24">
        <v>39295</v>
      </c>
      <c r="D190" s="23" t="s">
        <v>67</v>
      </c>
      <c r="E190" s="64" t="str">
        <f>IFERROR(IF(D190=計算シート!$B$7,"○",""),"")</f>
        <v/>
      </c>
      <c r="F190" s="23" t="s">
        <v>501</v>
      </c>
      <c r="G190" s="64" t="str">
        <f>IFERROR(IF(AND(計算シート!$B$11&gt;=4100,計算シート!$B$11&lt;=11890),"○",""),"")</f>
        <v/>
      </c>
      <c r="H190" s="23" t="s">
        <v>257</v>
      </c>
      <c r="I190" s="64" t="str">
        <f t="shared" ref="I190:I201" si="19">G190</f>
        <v/>
      </c>
      <c r="J190" s="64">
        <f>ROUNDDOWN(0.8*計算シート!$B$11-0.3*((計算シート!$B$11-4100)/(11890-4100))*計算シート!$B$11,0)</f>
        <v>0</v>
      </c>
      <c r="K190" s="64" t="str">
        <f>IF(AND(計算シート!$E$3='計算式あて（再計算後）'!C190,E190="○",G190="○",I190="○"),"★","")</f>
        <v/>
      </c>
      <c r="L190" s="66" t="str">
        <f>IF(AND(計算シート!$E$5='計算式あて（再計算後）'!C190,E190="○",G190="○",I190="○"),"◆","")</f>
        <v/>
      </c>
      <c r="M190" s="23">
        <v>0.09</v>
      </c>
    </row>
    <row r="191" spans="1:13">
      <c r="A191" s="25"/>
      <c r="B191" s="25"/>
      <c r="C191" s="24">
        <v>39295</v>
      </c>
      <c r="D191" s="23" t="s">
        <v>67</v>
      </c>
      <c r="E191" s="64" t="str">
        <f>IFERROR(IF(D191=計算シート!$B$7,"○",""),"")</f>
        <v/>
      </c>
      <c r="F191" s="23" t="s">
        <v>502</v>
      </c>
      <c r="G191" s="64" t="str">
        <f>IFERROR(IF(AND(計算シート!$B$11&gt;11890,計算シート!$B$11&lt;=12810),"○",""),"")</f>
        <v/>
      </c>
      <c r="H191" s="23" t="s">
        <v>82</v>
      </c>
      <c r="I191" s="64" t="str">
        <f t="shared" si="19"/>
        <v/>
      </c>
      <c r="J191" s="64">
        <f>ROUNDDOWN(計算シート!$B$11*0.5,0)</f>
        <v>0</v>
      </c>
      <c r="K191" s="64" t="str">
        <f>IF(AND(計算シート!$E$3='計算式あて（再計算後）'!C191,E191="○",G191="○",I191="○"),"★","")</f>
        <v/>
      </c>
      <c r="L191" s="66" t="str">
        <f>IF(AND(計算シート!$E$5='計算式あて（再計算後）'!C191,E191="○",G191="○",I191="○"),"◆","")</f>
        <v/>
      </c>
      <c r="M191" s="23">
        <v>0.09</v>
      </c>
    </row>
    <row r="192" spans="1:13">
      <c r="A192" s="25"/>
      <c r="B192" s="25"/>
      <c r="C192" s="24">
        <v>39295</v>
      </c>
      <c r="D192" s="23" t="s">
        <v>67</v>
      </c>
      <c r="E192" s="64" t="str">
        <f>IFERROR(IF(D192=計算シート!$B$7,"○",""),"")</f>
        <v/>
      </c>
      <c r="F192" s="23" t="s">
        <v>185</v>
      </c>
      <c r="G192" s="64" t="str">
        <f>IFERROR(IF(計算シート!$B$11&gt;12810,"○",""),"")</f>
        <v/>
      </c>
      <c r="H192" s="23" t="s">
        <v>189</v>
      </c>
      <c r="I192" s="64" t="str">
        <f t="shared" si="19"/>
        <v/>
      </c>
      <c r="J192" s="64">
        <v>6405</v>
      </c>
      <c r="K192" s="64" t="str">
        <f>IF(AND(計算シート!$E$3='計算式あて（再計算後）'!C192,E192="○",G192="○",I192="○"),"★","")</f>
        <v/>
      </c>
      <c r="L192" s="66" t="str">
        <f>IF(AND(計算シート!$E$5='計算式あて（再計算後）'!C192,E192="○",G192="○",I192="○"),"◆","")</f>
        <v/>
      </c>
      <c r="M192" s="23">
        <v>0.09</v>
      </c>
    </row>
    <row r="193" spans="1:13">
      <c r="A193" s="25"/>
      <c r="B193" s="25"/>
      <c r="C193" s="24">
        <v>39295</v>
      </c>
      <c r="D193" s="23" t="s">
        <v>68</v>
      </c>
      <c r="E193" s="64" t="str">
        <f>IFERROR(IF(D193=計算シート!$B$7,"○",""),"")</f>
        <v/>
      </c>
      <c r="F193" s="23" t="s">
        <v>256</v>
      </c>
      <c r="G193" s="64" t="str">
        <f>IFERROR(IF(AND(計算シート!$B$11&gt;=2080,計算シート!$B$11&lt;4100),"○",""),"")</f>
        <v/>
      </c>
      <c r="H193" s="23" t="s">
        <v>80</v>
      </c>
      <c r="I193" s="64" t="str">
        <f t="shared" si="19"/>
        <v/>
      </c>
      <c r="J193" s="64">
        <f>ROUNDDOWN(計算シート!$B$11*0.8,0)</f>
        <v>0</v>
      </c>
      <c r="K193" s="64" t="str">
        <f>IF(AND(計算シート!$E$3='計算式あて（再計算後）'!C193,E193="○",G193="○",I193="○"),"★","")</f>
        <v/>
      </c>
      <c r="L193" s="66" t="str">
        <f>IF(AND(計算シート!$E$5='計算式あて（再計算後）'!C193,E193="○",G193="○",I193="○"),"◆","")</f>
        <v/>
      </c>
      <c r="M193" s="23">
        <v>0.09</v>
      </c>
    </row>
    <row r="194" spans="1:13">
      <c r="A194" s="25"/>
      <c r="B194" s="25"/>
      <c r="C194" s="24">
        <v>39295</v>
      </c>
      <c r="D194" s="23" t="s">
        <v>68</v>
      </c>
      <c r="E194" s="64" t="str">
        <f>IFERROR(IF(D194=計算シート!$B$7,"○",""),"")</f>
        <v/>
      </c>
      <c r="F194" s="23" t="s">
        <v>501</v>
      </c>
      <c r="G194" s="64" t="str">
        <f>IFERROR(IF(AND(計算シート!$B$11&gt;=4100,計算シート!$B$11&lt;=11890),"○",""),"")</f>
        <v/>
      </c>
      <c r="H194" s="23" t="s">
        <v>257</v>
      </c>
      <c r="I194" s="64" t="str">
        <f t="shared" si="19"/>
        <v/>
      </c>
      <c r="J194" s="64">
        <f>ROUNDDOWN(0.8*計算シート!$B$11-0.3*((計算シート!$B$11-4100)/(11890-4100))*計算シート!$B$11,0)</f>
        <v>0</v>
      </c>
      <c r="K194" s="64" t="str">
        <f>IF(AND(計算シート!$E$3='計算式あて（再計算後）'!C194,E194="○",G194="○",I194="○"),"★","")</f>
        <v/>
      </c>
      <c r="L194" s="66" t="str">
        <f>IF(AND(計算シート!$E$5='計算式あて（再計算後）'!C194,E194="○",G194="○",I194="○"),"◆","")</f>
        <v/>
      </c>
      <c r="M194" s="23">
        <v>0.09</v>
      </c>
    </row>
    <row r="195" spans="1:13">
      <c r="A195" s="25"/>
      <c r="B195" s="25"/>
      <c r="C195" s="24">
        <v>39295</v>
      </c>
      <c r="D195" s="23" t="s">
        <v>68</v>
      </c>
      <c r="E195" s="64" t="str">
        <f>IFERROR(IF(D195=計算シート!$B$7,"○",""),"")</f>
        <v/>
      </c>
      <c r="F195" s="23" t="s">
        <v>503</v>
      </c>
      <c r="G195" s="64" t="str">
        <f>IFERROR(IF(AND(計算シート!$B$11&gt;11890,計算シート!$B$11&lt;=14220),"○",""),"")</f>
        <v/>
      </c>
      <c r="H195" s="23" t="s">
        <v>82</v>
      </c>
      <c r="I195" s="64" t="str">
        <f t="shared" si="19"/>
        <v/>
      </c>
      <c r="J195" s="64">
        <f>ROUNDDOWN(計算シート!$B$11*0.5,0)</f>
        <v>0</v>
      </c>
      <c r="K195" s="64" t="str">
        <f>IF(AND(計算シート!$E$3='計算式あて（再計算後）'!C195,E195="○",G195="○",I195="○"),"★","")</f>
        <v/>
      </c>
      <c r="L195" s="66" t="str">
        <f>IF(AND(計算シート!$E$5='計算式あて（再計算後）'!C195,E195="○",G195="○",I195="○"),"◆","")</f>
        <v/>
      </c>
      <c r="M195" s="23">
        <v>0.09</v>
      </c>
    </row>
    <row r="196" spans="1:13">
      <c r="A196" s="25"/>
      <c r="B196" s="25"/>
      <c r="C196" s="24">
        <v>39295</v>
      </c>
      <c r="D196" s="23" t="s">
        <v>68</v>
      </c>
      <c r="E196" s="64" t="str">
        <f>IFERROR(IF(D196=計算シート!$B$7,"○",""),"")</f>
        <v/>
      </c>
      <c r="F196" s="23" t="s">
        <v>179</v>
      </c>
      <c r="G196" s="64" t="str">
        <f>IFERROR(IF(計算シート!$B$11&gt;14220,"○",""),"")</f>
        <v/>
      </c>
      <c r="H196" s="23" t="s">
        <v>186</v>
      </c>
      <c r="I196" s="64" t="str">
        <f t="shared" si="19"/>
        <v/>
      </c>
      <c r="J196" s="64">
        <v>7110</v>
      </c>
      <c r="K196" s="64" t="str">
        <f>IF(AND(計算シート!$E$3='計算式あて（再計算後）'!C196,E196="○",G196="○",I196="○"),"★","")</f>
        <v/>
      </c>
      <c r="L196" s="66" t="str">
        <f>IF(AND(計算シート!$E$5='計算式あて（再計算後）'!C196,E196="○",G196="○",I196="○"),"◆","")</f>
        <v/>
      </c>
      <c r="M196" s="23">
        <v>0.09</v>
      </c>
    </row>
    <row r="197" spans="1:13">
      <c r="A197" s="25"/>
      <c r="B197" s="25"/>
      <c r="C197" s="24">
        <v>39295</v>
      </c>
      <c r="D197" s="23" t="s">
        <v>69</v>
      </c>
      <c r="E197" s="64" t="str">
        <f>IFERROR(IF(D197=計算シート!$B$7,"○",""),"")</f>
        <v/>
      </c>
      <c r="F197" s="23" t="s">
        <v>256</v>
      </c>
      <c r="G197" s="64" t="str">
        <f>IFERROR(IF(AND(計算シート!$B$11&gt;=2080,計算シート!$B$11&lt;4100),"○",""),"")</f>
        <v/>
      </c>
      <c r="H197" s="23" t="s">
        <v>80</v>
      </c>
      <c r="I197" s="64" t="str">
        <f t="shared" si="19"/>
        <v/>
      </c>
      <c r="J197" s="64">
        <f>ROUNDDOWN(計算シート!$B$11*0.8,0)</f>
        <v>0</v>
      </c>
      <c r="K197" s="64" t="str">
        <f>IF(AND(計算シート!$E$3='計算式あて（再計算後）'!C197,E197="○",G197="○",I197="○"),"★","")</f>
        <v/>
      </c>
      <c r="L197" s="66" t="str">
        <f>IF(AND(計算シート!$E$5='計算式あて（再計算後）'!C197,E197="○",G197="○",I197="○"),"◆","")</f>
        <v/>
      </c>
      <c r="M197" s="23">
        <v>0.09</v>
      </c>
    </row>
    <row r="198" spans="1:13">
      <c r="A198" s="25"/>
      <c r="B198" s="25"/>
      <c r="C198" s="24">
        <v>39295</v>
      </c>
      <c r="D198" s="23" t="s">
        <v>69</v>
      </c>
      <c r="E198" s="64" t="str">
        <f>IFERROR(IF(D198=計算シート!$B$7,"○",""),"")</f>
        <v/>
      </c>
      <c r="F198" s="23" t="s">
        <v>501</v>
      </c>
      <c r="G198" s="64" t="str">
        <f>IFERROR(IF(AND(計算シート!$B$11&gt;=4100,計算シート!$B$11&lt;=11890),"○",""),"")</f>
        <v/>
      </c>
      <c r="H198" s="23" t="s">
        <v>257</v>
      </c>
      <c r="I198" s="64" t="str">
        <f t="shared" si="19"/>
        <v/>
      </c>
      <c r="J198" s="64">
        <f>ROUNDDOWN(0.8*計算シート!$B$11-0.3*((計算シート!$B$11-4100)/(11890-4100))*計算シート!$B$11,0)</f>
        <v>0</v>
      </c>
      <c r="K198" s="64" t="str">
        <f>IF(AND(計算シート!$E$3='計算式あて（再計算後）'!C198,E198="○",G198="○",I198="○"),"★","")</f>
        <v/>
      </c>
      <c r="L198" s="66" t="str">
        <f>IF(AND(計算シート!$E$5='計算式あて（再計算後）'!C198,E198="○",G198="○",I198="○"),"◆","")</f>
        <v/>
      </c>
      <c r="M198" s="23">
        <v>0.09</v>
      </c>
    </row>
    <row r="199" spans="1:13">
      <c r="A199" s="25"/>
      <c r="B199" s="25"/>
      <c r="C199" s="24">
        <v>39295</v>
      </c>
      <c r="D199" s="23" t="s">
        <v>69</v>
      </c>
      <c r="E199" s="64" t="str">
        <f>IFERROR(IF(D199=計算シート!$B$7,"○",""),"")</f>
        <v/>
      </c>
      <c r="F199" s="23" t="s">
        <v>504</v>
      </c>
      <c r="G199" s="64" t="str">
        <f>IFERROR(IF(AND(計算シート!$B$11&gt;11890,計算シート!$B$11&lt;=15650),"○",""),"")</f>
        <v/>
      </c>
      <c r="H199" s="23" t="s">
        <v>82</v>
      </c>
      <c r="I199" s="64" t="str">
        <f t="shared" si="19"/>
        <v/>
      </c>
      <c r="J199" s="64">
        <f>ROUNDDOWN(計算シート!$B$11*0.5,0)</f>
        <v>0</v>
      </c>
      <c r="K199" s="64" t="str">
        <f>IF(AND(計算シート!$E$3='計算式あて（再計算後）'!C199,E199="○",G199="○",I199="○"),"★","")</f>
        <v/>
      </c>
      <c r="L199" s="66" t="str">
        <f>IF(AND(計算シート!$E$5='計算式あて（再計算後）'!C199,E199="○",G199="○",I199="○"),"◆","")</f>
        <v/>
      </c>
      <c r="M199" s="23">
        <v>0.09</v>
      </c>
    </row>
    <row r="200" spans="1:13">
      <c r="A200" s="25"/>
      <c r="B200" s="25"/>
      <c r="C200" s="24">
        <v>39295</v>
      </c>
      <c r="D200" s="23" t="s">
        <v>69</v>
      </c>
      <c r="E200" s="64" t="str">
        <f>IFERROR(IF(D200=計算シート!$B$7,"○",""),"")</f>
        <v/>
      </c>
      <c r="F200" s="23" t="s">
        <v>142</v>
      </c>
      <c r="G200" s="64" t="str">
        <f>IFERROR(IF(計算シート!$B$11&gt;15650,"○",""),"")</f>
        <v/>
      </c>
      <c r="H200" s="23" t="s">
        <v>194</v>
      </c>
      <c r="I200" s="64" t="str">
        <f t="shared" si="19"/>
        <v/>
      </c>
      <c r="J200" s="64">
        <v>7825</v>
      </c>
      <c r="K200" s="64" t="str">
        <f>IF(AND(計算シート!$E$3='計算式あて（再計算後）'!C200,E200="○",G200="○",I200="○"),"★","")</f>
        <v/>
      </c>
      <c r="L200" s="66" t="str">
        <f>IF(AND(計算シート!$E$5='計算式あて（再計算後）'!C200,E200="○",G200="○",I200="○"),"◆","")</f>
        <v/>
      </c>
      <c r="M200" s="23">
        <v>0.09</v>
      </c>
    </row>
    <row r="201" spans="1:13">
      <c r="A201" s="25"/>
      <c r="B201" s="25"/>
      <c r="C201" s="24">
        <v>39295</v>
      </c>
      <c r="D201" s="23" t="s">
        <v>70</v>
      </c>
      <c r="E201" s="64" t="str">
        <f>IFERROR(IF(D201=計算シート!$B$7,"○",""),"")</f>
        <v/>
      </c>
      <c r="F201" s="23" t="s">
        <v>256</v>
      </c>
      <c r="G201" s="64" t="str">
        <f>IFERROR(IF(AND(計算シート!$B$11&gt;=2080,計算シート!$B$11&lt;4100),"○",""),"")</f>
        <v/>
      </c>
      <c r="H201" s="23" t="s">
        <v>80</v>
      </c>
      <c r="I201" s="64" t="str">
        <f t="shared" si="19"/>
        <v/>
      </c>
      <c r="J201" s="64">
        <f>ROUNDDOWN(計算シート!$B$11*0.8,0)</f>
        <v>0</v>
      </c>
      <c r="K201" s="64" t="str">
        <f>IF(AND(計算シート!$E$3='計算式あて（再計算後）'!C201,E201="○",G201="○",I201="○"),"★","")</f>
        <v/>
      </c>
      <c r="L201" s="66" t="str">
        <f>IF(AND(計算シート!$E$5='計算式あて（再計算後）'!C201,E201="○",G201="○",I201="○"),"◆","")</f>
        <v/>
      </c>
      <c r="M201" s="23">
        <v>0.09</v>
      </c>
    </row>
    <row r="202" spans="1:13">
      <c r="A202" s="25"/>
      <c r="B202" s="25"/>
      <c r="C202" s="24">
        <v>39295</v>
      </c>
      <c r="D202" s="23" t="s">
        <v>70</v>
      </c>
      <c r="E202" s="64" t="str">
        <f>IFERROR(IF(D202=計算シート!$B$7,"○",""),"")</f>
        <v/>
      </c>
      <c r="F202" s="23" t="s">
        <v>505</v>
      </c>
      <c r="G202" s="64" t="str">
        <f>IFERROR(IF(AND(計算シート!$B$11&gt;=4100,計算シート!$B$11&lt;=10660),"○",""),"")</f>
        <v/>
      </c>
      <c r="H202" s="23" t="s">
        <v>258</v>
      </c>
      <c r="I202" s="64" t="str">
        <f>IFERROR(IF(J202&lt;J203,"○",""),"")</f>
        <v>○</v>
      </c>
      <c r="J202" s="64">
        <f>ROUNDDOWN(0.8*計算シート!$B$11-0.35*((計算シート!$B$11-4100)/(10660-4100))*計算シート!$B$11,0)</f>
        <v>0</v>
      </c>
      <c r="K202" s="64" t="str">
        <f>IF(AND(計算シート!$E$3='計算式あて（再計算後）'!C202,E202="○",G202="○",I202="○"),"★","")</f>
        <v/>
      </c>
      <c r="L202" s="66" t="str">
        <f>IF(AND(計算シート!$E$5='計算式あて（再計算後）'!C202,E202="○",G202="○",I202="○"),"◆","")</f>
        <v/>
      </c>
      <c r="M202" s="23">
        <v>0.09</v>
      </c>
    </row>
    <row r="203" spans="1:13">
      <c r="A203" s="25"/>
      <c r="B203" s="25"/>
      <c r="C203" s="24">
        <v>39295</v>
      </c>
      <c r="D203" s="23" t="s">
        <v>70</v>
      </c>
      <c r="E203" s="64" t="str">
        <f>IFERROR(IF(D203=計算シート!$B$7,"○",""),"")</f>
        <v/>
      </c>
      <c r="F203" s="23" t="s">
        <v>506</v>
      </c>
      <c r="G203" s="64" t="str">
        <f>IFERROR(IF(AND(計算シート!$B$11&gt;=4100,計算シート!$B$11&lt;=10660),"○",""),"")</f>
        <v/>
      </c>
      <c r="H203" s="23" t="s">
        <v>259</v>
      </c>
      <c r="I203" s="64" t="str">
        <f>IFERROR(IF(J203&lt;J202,"○",""),"")</f>
        <v/>
      </c>
      <c r="J203" s="64">
        <f>ROUNDDOWN(計算シート!$B$11*0.05+(10660*0.4),0)</f>
        <v>4264</v>
      </c>
      <c r="K203" s="64" t="str">
        <f>IF(AND(計算シート!$E$3='計算式あて（再計算後）'!C203,E203="○",G203="○",I203="○"),"★","")</f>
        <v/>
      </c>
      <c r="L203" s="66" t="str">
        <f>IF(AND(計算シート!$E$5='計算式あて（再計算後）'!C203,E203="○",G203="○",I203="○"),"◆","")</f>
        <v/>
      </c>
      <c r="M203" s="23">
        <v>0.09</v>
      </c>
    </row>
    <row r="204" spans="1:13">
      <c r="A204" s="25"/>
      <c r="B204" s="25"/>
      <c r="C204" s="24">
        <v>39295</v>
      </c>
      <c r="D204" s="23" t="s">
        <v>70</v>
      </c>
      <c r="E204" s="64" t="str">
        <f>IFERROR(IF(D204=計算シート!$B$7,"○",""),"")</f>
        <v/>
      </c>
      <c r="F204" s="23" t="s">
        <v>260</v>
      </c>
      <c r="G204" s="64" t="str">
        <f>IFERROR(IF(AND(計算シート!$B$11&gt;10660,計算シート!$B$11&lt;=15160),"○",""),"")</f>
        <v/>
      </c>
      <c r="H204" s="23" t="s">
        <v>84</v>
      </c>
      <c r="I204" s="64" t="str">
        <f t="shared" ref="I204:I205" si="20">G204</f>
        <v/>
      </c>
      <c r="J204" s="64">
        <f>ROUNDDOWN(計算シート!$B$11*0.45,0)</f>
        <v>0</v>
      </c>
      <c r="K204" s="64" t="str">
        <f>IF(AND(計算シート!$E$3='計算式あて（再計算後）'!C204,E204="○",G204="○",I204="○"),"★","")</f>
        <v/>
      </c>
      <c r="L204" s="66" t="str">
        <f>IF(AND(計算シート!$E$5='計算式あて（再計算後）'!C204,E204="○",G204="○",I204="○"),"◆","")</f>
        <v/>
      </c>
      <c r="M204" s="23">
        <v>0.09</v>
      </c>
    </row>
    <row r="205" spans="1:13">
      <c r="A205" s="27"/>
      <c r="B205" s="28"/>
      <c r="C205" s="24">
        <v>39295</v>
      </c>
      <c r="D205" s="23" t="s">
        <v>70</v>
      </c>
      <c r="E205" s="64" t="str">
        <f>IFERROR(IF(D205=計算シート!$B$7,"○",""),"")</f>
        <v/>
      </c>
      <c r="F205" s="23" t="s">
        <v>261</v>
      </c>
      <c r="G205" s="64" t="str">
        <f>IFERROR(IF(計算シート!$B$11&gt;15160,"○",""),"")</f>
        <v/>
      </c>
      <c r="H205" s="23" t="s">
        <v>262</v>
      </c>
      <c r="I205" s="64" t="str">
        <f t="shared" si="20"/>
        <v/>
      </c>
      <c r="J205" s="64">
        <v>6822</v>
      </c>
      <c r="K205" s="64" t="str">
        <f>IF(AND(計算シート!$E$3='計算式あて（再計算後）'!C205,E205="○",G205="○",I205="○"),"★","")</f>
        <v/>
      </c>
      <c r="L205" s="66" t="str">
        <f>IF(AND(計算シート!$E$5='計算式あて（再計算後）'!C205,E205="○",G205="○",I205="○"),"◆","")</f>
        <v/>
      </c>
      <c r="M205" s="23">
        <v>0.09</v>
      </c>
    </row>
    <row r="206" spans="1:13" ht="27">
      <c r="A206" s="25"/>
      <c r="B206" s="26" t="s">
        <v>310</v>
      </c>
      <c r="C206" s="24">
        <v>38930</v>
      </c>
      <c r="D206" s="23" t="s">
        <v>67</v>
      </c>
      <c r="E206" s="64" t="str">
        <f>IFERROR(IF(D206=計算シート!$B$7,"○",""),"")</f>
        <v/>
      </c>
      <c r="F206" s="23" t="s">
        <v>263</v>
      </c>
      <c r="G206" s="64" t="str">
        <f>IFERROR(IF(AND(計算シート!$B$11&gt;=2090,計算シート!$B$11&lt;4120),"○",""),"")</f>
        <v/>
      </c>
      <c r="H206" s="23" t="s">
        <v>80</v>
      </c>
      <c r="I206" s="64" t="str">
        <f>G206</f>
        <v/>
      </c>
      <c r="J206" s="64">
        <f>ROUNDDOWN(計算シート!$B$11*0.8,0)</f>
        <v>0</v>
      </c>
      <c r="K206" s="64" t="str">
        <f>IF(AND(計算シート!$E$3='計算式あて（再計算後）'!C206,E206="○",G206="○",I206="○"),"★","")</f>
        <v/>
      </c>
      <c r="L206" s="66" t="str">
        <f>IF(AND(計算シート!$E$5='計算式あて（再計算後）'!C206,E206="○",G206="○",I206="○"),"◆","")</f>
        <v/>
      </c>
      <c r="M206" s="23">
        <v>0.11</v>
      </c>
    </row>
    <row r="207" spans="1:13">
      <c r="A207" s="25"/>
      <c r="B207" s="25"/>
      <c r="C207" s="24">
        <v>38930</v>
      </c>
      <c r="D207" s="23" t="s">
        <v>67</v>
      </c>
      <c r="E207" s="64" t="str">
        <f>IFERROR(IF(D207=計算シート!$B$7,"○",""),"")</f>
        <v/>
      </c>
      <c r="F207" s="23" t="s">
        <v>507</v>
      </c>
      <c r="G207" s="64" t="str">
        <f>IFERROR(IF(AND(計算シート!$B$11&gt;=4120,計算シート!$B$11&lt;=11940),"○",""),"")</f>
        <v/>
      </c>
      <c r="H207" s="23" t="s">
        <v>264</v>
      </c>
      <c r="I207" s="64" t="str">
        <f t="shared" ref="I207:I218" si="21">G207</f>
        <v/>
      </c>
      <c r="J207" s="64">
        <f>ROUNDDOWN(0.8*計算シート!$B$11-0.3*((計算シート!$B$11-4120)/(11940-4120))*計算シート!$B$11,0)</f>
        <v>0</v>
      </c>
      <c r="K207" s="64" t="str">
        <f>IF(AND(計算シート!$E$3='計算式あて（再計算後）'!C207,E207="○",G207="○",I207="○"),"★","")</f>
        <v/>
      </c>
      <c r="L207" s="66" t="str">
        <f>IF(AND(計算シート!$E$5='計算式あて（再計算後）'!C207,E207="○",G207="○",I207="○"),"◆","")</f>
        <v/>
      </c>
      <c r="M207" s="23">
        <v>0.11</v>
      </c>
    </row>
    <row r="208" spans="1:13">
      <c r="A208" s="25"/>
      <c r="B208" s="25"/>
      <c r="C208" s="24">
        <v>38930</v>
      </c>
      <c r="D208" s="23" t="s">
        <v>67</v>
      </c>
      <c r="E208" s="64" t="str">
        <f>IFERROR(IF(D208=計算シート!$B$7,"○",""),"")</f>
        <v/>
      </c>
      <c r="F208" s="23" t="s">
        <v>508</v>
      </c>
      <c r="G208" s="64" t="str">
        <f>IFERROR(IF(AND(計算シート!$B$11&gt;11940,計算シート!$B$11&lt;=12870),"○",""),"")</f>
        <v/>
      </c>
      <c r="H208" s="23" t="s">
        <v>82</v>
      </c>
      <c r="I208" s="64" t="str">
        <f t="shared" si="21"/>
        <v/>
      </c>
      <c r="J208" s="64">
        <f>ROUNDDOWN(計算シート!$B$11*0.5,0)</f>
        <v>0</v>
      </c>
      <c r="K208" s="64" t="str">
        <f>IF(AND(計算シート!$E$3='計算式あて（再計算後）'!C208,E208="○",G208="○",I208="○"),"★","")</f>
        <v/>
      </c>
      <c r="L208" s="66" t="str">
        <f>IF(AND(計算シート!$E$5='計算式あて（再計算後）'!C208,E208="○",G208="○",I208="○"),"◆","")</f>
        <v/>
      </c>
      <c r="M208" s="23">
        <v>0.11</v>
      </c>
    </row>
    <row r="209" spans="1:13">
      <c r="A209" s="25"/>
      <c r="B209" s="25"/>
      <c r="C209" s="24">
        <v>38930</v>
      </c>
      <c r="D209" s="23" t="s">
        <v>67</v>
      </c>
      <c r="E209" s="64" t="str">
        <f>IFERROR(IF(D209=計算シート!$B$7,"○",""),"")</f>
        <v/>
      </c>
      <c r="F209" s="23" t="s">
        <v>271</v>
      </c>
      <c r="G209" s="64" t="str">
        <f>IFERROR(IF(計算シート!$B$11&gt;12870,"○",""),"")</f>
        <v/>
      </c>
      <c r="H209" s="23" t="s">
        <v>275</v>
      </c>
      <c r="I209" s="64" t="str">
        <f t="shared" si="21"/>
        <v/>
      </c>
      <c r="J209" s="64">
        <v>6435</v>
      </c>
      <c r="K209" s="64" t="str">
        <f>IF(AND(計算シート!$E$3='計算式あて（再計算後）'!C209,E209="○",G209="○",I209="○"),"★","")</f>
        <v/>
      </c>
      <c r="L209" s="66" t="str">
        <f>IF(AND(計算シート!$E$5='計算式あて（再計算後）'!C209,E209="○",G209="○",I209="○"),"◆","")</f>
        <v/>
      </c>
      <c r="M209" s="23">
        <v>0.11</v>
      </c>
    </row>
    <row r="210" spans="1:13">
      <c r="A210" s="25"/>
      <c r="B210" s="25"/>
      <c r="C210" s="24">
        <v>38930</v>
      </c>
      <c r="D210" s="23" t="s">
        <v>68</v>
      </c>
      <c r="E210" s="64" t="str">
        <f>IFERROR(IF(D210=計算シート!$B$7,"○",""),"")</f>
        <v/>
      </c>
      <c r="F210" s="23" t="s">
        <v>263</v>
      </c>
      <c r="G210" s="64" t="str">
        <f>IFERROR(IF(AND(計算シート!$B$11&gt;=2090,計算シート!$B$11&lt;4120),"○",""),"")</f>
        <v/>
      </c>
      <c r="H210" s="23" t="s">
        <v>80</v>
      </c>
      <c r="I210" s="64" t="str">
        <f t="shared" si="21"/>
        <v/>
      </c>
      <c r="J210" s="64">
        <f>ROUNDDOWN(計算シート!$B$11*0.8,0)</f>
        <v>0</v>
      </c>
      <c r="K210" s="64" t="str">
        <f>IF(AND(計算シート!$E$3='計算式あて（再計算後）'!C210,E210="○",G210="○",I210="○"),"★","")</f>
        <v/>
      </c>
      <c r="L210" s="66" t="str">
        <f>IF(AND(計算シート!$E$5='計算式あて（再計算後）'!C210,E210="○",G210="○",I210="○"),"◆","")</f>
        <v/>
      </c>
      <c r="M210" s="23">
        <v>0.11</v>
      </c>
    </row>
    <row r="211" spans="1:13">
      <c r="A211" s="25"/>
      <c r="B211" s="25"/>
      <c r="C211" s="24">
        <v>38930</v>
      </c>
      <c r="D211" s="23" t="s">
        <v>68</v>
      </c>
      <c r="E211" s="64" t="str">
        <f>IFERROR(IF(D211=計算シート!$B$7,"○",""),"")</f>
        <v/>
      </c>
      <c r="F211" s="23" t="s">
        <v>507</v>
      </c>
      <c r="G211" s="64" t="str">
        <f>IFERROR(IF(AND(計算シート!$B$11&gt;=4120,計算シート!$B$11&lt;=11940),"○",""),"")</f>
        <v/>
      </c>
      <c r="H211" s="23" t="s">
        <v>264</v>
      </c>
      <c r="I211" s="64" t="str">
        <f t="shared" si="21"/>
        <v/>
      </c>
      <c r="J211" s="64">
        <f>ROUNDDOWN(0.8*計算シート!$B$11-0.3*((計算シート!$B$11-4120)/(11940-4120))*計算シート!$B$11,0)</f>
        <v>0</v>
      </c>
      <c r="K211" s="64" t="str">
        <f>IF(AND(計算シート!$E$3='計算式あて（再計算後）'!C211,E211="○",G211="○",I211="○"),"★","")</f>
        <v/>
      </c>
      <c r="L211" s="66" t="str">
        <f>IF(AND(計算シート!$E$5='計算式あて（再計算後）'!C211,E211="○",G211="○",I211="○"),"◆","")</f>
        <v/>
      </c>
      <c r="M211" s="23">
        <v>0.11</v>
      </c>
    </row>
    <row r="212" spans="1:13">
      <c r="A212" s="25"/>
      <c r="B212" s="25"/>
      <c r="C212" s="24">
        <v>38930</v>
      </c>
      <c r="D212" s="23" t="s">
        <v>68</v>
      </c>
      <c r="E212" s="64" t="str">
        <f>IFERROR(IF(D212=計算シート!$B$7,"○",""),"")</f>
        <v/>
      </c>
      <c r="F212" s="23" t="s">
        <v>509</v>
      </c>
      <c r="G212" s="64" t="str">
        <f>IFERROR(IF(AND(計算シート!$B$11&gt;11940,計算シート!$B$11&lt;=14280),"○",""),"")</f>
        <v/>
      </c>
      <c r="H212" s="23" t="s">
        <v>82</v>
      </c>
      <c r="I212" s="64" t="str">
        <f t="shared" si="21"/>
        <v/>
      </c>
      <c r="J212" s="64">
        <f>ROUNDDOWN(計算シート!$B$11*0.5,0)</f>
        <v>0</v>
      </c>
      <c r="K212" s="64" t="str">
        <f>IF(AND(計算シート!$E$3='計算式あて（再計算後）'!C212,E212="○",G212="○",I212="○"),"★","")</f>
        <v/>
      </c>
      <c r="L212" s="66" t="str">
        <f>IF(AND(計算シート!$E$5='計算式あて（再計算後）'!C212,E212="○",G212="○",I212="○"),"◆","")</f>
        <v/>
      </c>
      <c r="M212" s="23">
        <v>0.11</v>
      </c>
    </row>
    <row r="213" spans="1:13">
      <c r="A213" s="25"/>
      <c r="B213" s="25"/>
      <c r="C213" s="24">
        <v>38930</v>
      </c>
      <c r="D213" s="23" t="s">
        <v>68</v>
      </c>
      <c r="E213" s="64" t="str">
        <f>IFERROR(IF(D213=計算シート!$B$7,"○",""),"")</f>
        <v/>
      </c>
      <c r="F213" s="23" t="s">
        <v>265</v>
      </c>
      <c r="G213" s="64" t="str">
        <f>IFERROR(IF(計算シート!$B$11&gt;14280,"○",""),"")</f>
        <v/>
      </c>
      <c r="H213" s="23" t="s">
        <v>272</v>
      </c>
      <c r="I213" s="64" t="str">
        <f t="shared" si="21"/>
        <v/>
      </c>
      <c r="J213" s="64">
        <v>7140</v>
      </c>
      <c r="K213" s="64" t="str">
        <f>IF(AND(計算シート!$E$3='計算式あて（再計算後）'!C213,E213="○",G213="○",I213="○"),"★","")</f>
        <v/>
      </c>
      <c r="L213" s="66" t="str">
        <f>IF(AND(計算シート!$E$5='計算式あて（再計算後）'!C213,E213="○",G213="○",I213="○"),"◆","")</f>
        <v/>
      </c>
      <c r="M213" s="23">
        <v>0.11</v>
      </c>
    </row>
    <row r="214" spans="1:13">
      <c r="A214" s="25"/>
      <c r="B214" s="25"/>
      <c r="C214" s="24">
        <v>38930</v>
      </c>
      <c r="D214" s="23" t="s">
        <v>69</v>
      </c>
      <c r="E214" s="64" t="str">
        <f>IFERROR(IF(D214=計算シート!$B$7,"○",""),"")</f>
        <v/>
      </c>
      <c r="F214" s="23" t="s">
        <v>263</v>
      </c>
      <c r="G214" s="64" t="str">
        <f>IFERROR(IF(AND(計算シート!$B$11&gt;=2090,計算シート!$B$11&lt;4120),"○",""),"")</f>
        <v/>
      </c>
      <c r="H214" s="23" t="s">
        <v>80</v>
      </c>
      <c r="I214" s="64" t="str">
        <f t="shared" si="21"/>
        <v/>
      </c>
      <c r="J214" s="64">
        <f>ROUNDDOWN(計算シート!$B$11*0.8,0)</f>
        <v>0</v>
      </c>
      <c r="K214" s="64" t="str">
        <f>IF(AND(計算シート!$E$3='計算式あて（再計算後）'!C214,E214="○",G214="○",I214="○"),"★","")</f>
        <v/>
      </c>
      <c r="L214" s="66" t="str">
        <f>IF(AND(計算シート!$E$5='計算式あて（再計算後）'!C214,E214="○",G214="○",I214="○"),"◆","")</f>
        <v/>
      </c>
      <c r="M214" s="23">
        <v>0.11</v>
      </c>
    </row>
    <row r="215" spans="1:13">
      <c r="A215" s="25"/>
      <c r="B215" s="25"/>
      <c r="C215" s="24">
        <v>38930</v>
      </c>
      <c r="D215" s="23" t="s">
        <v>69</v>
      </c>
      <c r="E215" s="64" t="str">
        <f>IFERROR(IF(D215=計算シート!$B$7,"○",""),"")</f>
        <v/>
      </c>
      <c r="F215" s="23" t="s">
        <v>507</v>
      </c>
      <c r="G215" s="64" t="str">
        <f>IFERROR(IF(AND(計算シート!$B$11&gt;=4120,計算シート!$B$11&lt;=11940),"○",""),"")</f>
        <v/>
      </c>
      <c r="H215" s="23" t="s">
        <v>264</v>
      </c>
      <c r="I215" s="64" t="str">
        <f t="shared" si="21"/>
        <v/>
      </c>
      <c r="J215" s="64">
        <f>ROUNDDOWN(0.8*計算シート!$B$11-0.3*((計算シート!$B$11-4120)/(11940-4120))*計算シート!$B$11,0)</f>
        <v>0</v>
      </c>
      <c r="K215" s="64" t="str">
        <f>IF(AND(計算シート!$E$3='計算式あて（再計算後）'!C215,E215="○",G215="○",I215="○"),"★","")</f>
        <v/>
      </c>
      <c r="L215" s="66" t="str">
        <f>IF(AND(計算シート!$E$5='計算式あて（再計算後）'!C215,E215="○",G215="○",I215="○"),"◆","")</f>
        <v/>
      </c>
      <c r="M215" s="23">
        <v>0.11</v>
      </c>
    </row>
    <row r="216" spans="1:13">
      <c r="A216" s="25"/>
      <c r="B216" s="25"/>
      <c r="C216" s="24">
        <v>38930</v>
      </c>
      <c r="D216" s="23" t="s">
        <v>69</v>
      </c>
      <c r="E216" s="64" t="str">
        <f>IFERROR(IF(D216=計算シート!$B$7,"○",""),"")</f>
        <v/>
      </c>
      <c r="F216" s="23" t="s">
        <v>510</v>
      </c>
      <c r="G216" s="64" t="str">
        <f>IFERROR(IF(AND(計算シート!$B$11&gt;11940,計算シート!$B$11&lt;=15720),"○",""),"")</f>
        <v/>
      </c>
      <c r="H216" s="23" t="s">
        <v>82</v>
      </c>
      <c r="I216" s="64" t="str">
        <f t="shared" si="21"/>
        <v/>
      </c>
      <c r="J216" s="64">
        <f>ROUNDDOWN(計算シート!$B$11*0.5,0)</f>
        <v>0</v>
      </c>
      <c r="K216" s="64" t="str">
        <f>IF(AND(計算シート!$E$3='計算式あて（再計算後）'!C216,E216="○",G216="○",I216="○"),"★","")</f>
        <v/>
      </c>
      <c r="L216" s="66" t="str">
        <f>IF(AND(計算シート!$E$5='計算式あて（再計算後）'!C216,E216="○",G216="○",I216="○"),"◆","")</f>
        <v/>
      </c>
      <c r="M216" s="23">
        <v>0.11</v>
      </c>
    </row>
    <row r="217" spans="1:13">
      <c r="A217" s="25"/>
      <c r="B217" s="25"/>
      <c r="C217" s="24">
        <v>38930</v>
      </c>
      <c r="D217" s="23" t="s">
        <v>69</v>
      </c>
      <c r="E217" s="64" t="str">
        <f>IFERROR(IF(D217=計算シート!$B$7,"○",""),"")</f>
        <v/>
      </c>
      <c r="F217" s="23" t="s">
        <v>266</v>
      </c>
      <c r="G217" s="64" t="str">
        <f>IFERROR(IF(計算シート!$B$11&gt;15720,"○",""),"")</f>
        <v/>
      </c>
      <c r="H217" s="23" t="s">
        <v>273</v>
      </c>
      <c r="I217" s="64" t="str">
        <f t="shared" si="21"/>
        <v/>
      </c>
      <c r="J217" s="64">
        <v>7860</v>
      </c>
      <c r="K217" s="64" t="str">
        <f>IF(AND(計算シート!$E$3='計算式あて（再計算後）'!C217,E217="○",G217="○",I217="○"),"★","")</f>
        <v/>
      </c>
      <c r="L217" s="66" t="str">
        <f>IF(AND(計算シート!$E$5='計算式あて（再計算後）'!C217,E217="○",G217="○",I217="○"),"◆","")</f>
        <v/>
      </c>
      <c r="M217" s="23">
        <v>0.11</v>
      </c>
    </row>
    <row r="218" spans="1:13">
      <c r="A218" s="25"/>
      <c r="B218" s="25"/>
      <c r="C218" s="24">
        <v>38930</v>
      </c>
      <c r="D218" s="23" t="s">
        <v>70</v>
      </c>
      <c r="E218" s="64" t="str">
        <f>IFERROR(IF(D218=計算シート!$B$7,"○",""),"")</f>
        <v/>
      </c>
      <c r="F218" s="23" t="s">
        <v>263</v>
      </c>
      <c r="G218" s="64" t="str">
        <f>IFERROR(IF(AND(計算シート!$B$11&gt;=2090,計算シート!$B$11&lt;4120),"○",""),"")</f>
        <v/>
      </c>
      <c r="H218" s="23" t="s">
        <v>80</v>
      </c>
      <c r="I218" s="64" t="str">
        <f t="shared" si="21"/>
        <v/>
      </c>
      <c r="J218" s="64">
        <f>ROUNDDOWN(計算シート!$B$11*0.8,0)</f>
        <v>0</v>
      </c>
      <c r="K218" s="64" t="str">
        <f>IF(AND(計算シート!$E$3='計算式あて（再計算後）'!C218,E218="○",G218="○",I218="○"),"★","")</f>
        <v/>
      </c>
      <c r="L218" s="66" t="str">
        <f>IF(AND(計算シート!$E$5='計算式あて（再計算後）'!C218,E218="○",G218="○",I218="○"),"◆","")</f>
        <v/>
      </c>
      <c r="M218" s="23">
        <v>0.11</v>
      </c>
    </row>
    <row r="219" spans="1:13">
      <c r="A219" s="25"/>
      <c r="B219" s="25"/>
      <c r="C219" s="24">
        <v>38930</v>
      </c>
      <c r="D219" s="23" t="s">
        <v>70</v>
      </c>
      <c r="E219" s="64" t="str">
        <f>IFERROR(IF(D219=計算シート!$B$7,"○",""),"")</f>
        <v/>
      </c>
      <c r="F219" s="23" t="s">
        <v>511</v>
      </c>
      <c r="G219" s="64" t="str">
        <f>IFERROR(IF(AND(計算シート!$B$11&gt;=4120,計算シート!$B$11&lt;=10710),"○",""),"")</f>
        <v/>
      </c>
      <c r="H219" s="23" t="s">
        <v>267</v>
      </c>
      <c r="I219" s="64" t="str">
        <f>IFERROR(IF(J219&lt;J220,"○",""),"")</f>
        <v>○</v>
      </c>
      <c r="J219" s="64">
        <f>ROUNDDOWN(0.8*計算シート!$B$11-0.35*((計算シート!$B$11-4120)/(10710-4120))*計算シート!$B$11,0)</f>
        <v>0</v>
      </c>
      <c r="K219" s="64" t="str">
        <f>IF(AND(計算シート!$E$3='計算式あて（再計算後）'!C219,E219="○",G219="○",I219="○"),"★","")</f>
        <v/>
      </c>
      <c r="L219" s="66" t="str">
        <f>IF(AND(計算シート!$E$5='計算式あて（再計算後）'!C219,E219="○",G219="○",I219="○"),"◆","")</f>
        <v/>
      </c>
      <c r="M219" s="23">
        <v>0.11</v>
      </c>
    </row>
    <row r="220" spans="1:13">
      <c r="A220" s="25"/>
      <c r="B220" s="25"/>
      <c r="C220" s="24">
        <v>38930</v>
      </c>
      <c r="D220" s="23" t="s">
        <v>70</v>
      </c>
      <c r="E220" s="64" t="str">
        <f>IFERROR(IF(D220=計算シート!$B$7,"○",""),"")</f>
        <v/>
      </c>
      <c r="F220" s="23" t="s">
        <v>511</v>
      </c>
      <c r="G220" s="64" t="str">
        <f>IFERROR(IF(AND(計算シート!$B$11&gt;=4120,計算シート!$B$11&lt;=10710),"○",""),"")</f>
        <v/>
      </c>
      <c r="H220" s="23" t="s">
        <v>268</v>
      </c>
      <c r="I220" s="64" t="str">
        <f>IFERROR(IF(J220&lt;J219,"○",""),"")</f>
        <v/>
      </c>
      <c r="J220" s="64">
        <f>ROUNDDOWN(計算シート!$B$11*0.05+(10710*0.4),0)</f>
        <v>4284</v>
      </c>
      <c r="K220" s="64" t="str">
        <f>IF(AND(計算シート!$E$3='計算式あて（再計算後）'!C220,E220="○",G220="○",I220="○"),"★","")</f>
        <v/>
      </c>
      <c r="L220" s="66" t="str">
        <f>IF(AND(計算シート!$E$5='計算式あて（再計算後）'!C220,E220="○",G220="○",I220="○"),"◆","")</f>
        <v/>
      </c>
      <c r="M220" s="23">
        <v>0.11</v>
      </c>
    </row>
    <row r="221" spans="1:13">
      <c r="A221" s="25"/>
      <c r="B221" s="25"/>
      <c r="C221" s="24">
        <v>38930</v>
      </c>
      <c r="D221" s="23" t="s">
        <v>70</v>
      </c>
      <c r="E221" s="64" t="str">
        <f>IFERROR(IF(D221=計算シート!$B$7,"○",""),"")</f>
        <v/>
      </c>
      <c r="F221" s="23" t="s">
        <v>269</v>
      </c>
      <c r="G221" s="64" t="str">
        <f>IFERROR(IF(AND(計算シート!$B$11&gt;10710,計算シート!$B$11&lt;=15230),"○",""),"")</f>
        <v/>
      </c>
      <c r="H221" s="23" t="s">
        <v>84</v>
      </c>
      <c r="I221" s="64" t="str">
        <f t="shared" ref="I221:I222" si="22">G221</f>
        <v/>
      </c>
      <c r="J221" s="64">
        <f>ROUNDDOWN(計算シート!$B$11*0.45,0)</f>
        <v>0</v>
      </c>
      <c r="K221" s="64" t="str">
        <f>IF(AND(計算シート!$E$3='計算式あて（再計算後）'!C221,E221="○",G221="○",I221="○"),"★","")</f>
        <v/>
      </c>
      <c r="L221" s="66" t="str">
        <f>IF(AND(計算シート!$E$5='計算式あて（再計算後）'!C221,E221="○",G221="○",I221="○"),"◆","")</f>
        <v/>
      </c>
      <c r="M221" s="23">
        <v>0.11</v>
      </c>
    </row>
    <row r="222" spans="1:13">
      <c r="A222" s="27"/>
      <c r="B222" s="28"/>
      <c r="C222" s="24">
        <v>38930</v>
      </c>
      <c r="D222" s="23" t="s">
        <v>70</v>
      </c>
      <c r="E222" s="64" t="str">
        <f>IFERROR(IF(D222=計算シート!$B$7,"○",""),"")</f>
        <v/>
      </c>
      <c r="F222" s="23" t="s">
        <v>270</v>
      </c>
      <c r="G222" s="64" t="str">
        <f>IFERROR(IF(計算シート!$B$11&gt;15230,"○",""),"")</f>
        <v/>
      </c>
      <c r="H222" s="23" t="s">
        <v>274</v>
      </c>
      <c r="I222" s="64" t="str">
        <f t="shared" si="22"/>
        <v/>
      </c>
      <c r="J222" s="64">
        <v>6853</v>
      </c>
      <c r="K222" s="64" t="str">
        <f>IF(AND(計算シート!$E$3='計算式あて（再計算後）'!C222,E222="○",G222="○",I222="○"),"★","")</f>
        <v/>
      </c>
      <c r="L222" s="66" t="str">
        <f>IF(AND(計算シート!$E$5='計算式あて（再計算後）'!C222,E222="○",G222="○",I222="○"),"◆","")</f>
        <v/>
      </c>
      <c r="M222" s="23">
        <v>0.11</v>
      </c>
    </row>
    <row r="223" spans="1:13" ht="27">
      <c r="A223" s="25"/>
      <c r="B223" s="26" t="s">
        <v>311</v>
      </c>
      <c r="C223" s="24">
        <v>38565</v>
      </c>
      <c r="D223" s="23" t="s">
        <v>67</v>
      </c>
      <c r="E223" s="64" t="str">
        <f>IFERROR(IF(D223=計算シート!$B$7,"○",""),"")</f>
        <v/>
      </c>
      <c r="F223" s="23" t="s">
        <v>256</v>
      </c>
      <c r="G223" s="64" t="str">
        <f>IFERROR(IF(AND(計算シート!$B$11&gt;=2080,計算シート!$B$11&lt;4100),"○",""),"")</f>
        <v/>
      </c>
      <c r="H223" s="23" t="s">
        <v>80</v>
      </c>
      <c r="I223" s="64" t="str">
        <f>G223</f>
        <v/>
      </c>
      <c r="J223" s="64">
        <f>ROUNDDOWN(計算シート!$B$11*0.8,0)</f>
        <v>0</v>
      </c>
      <c r="K223" s="64" t="str">
        <f>IF(AND(計算シート!$E$3='計算式あて（再計算後）'!C223,E223="○",G223="○",I223="○"),"★","")</f>
        <v/>
      </c>
      <c r="L223" s="66" t="str">
        <f>IF(AND(計算シート!$E$5='計算式あて（再計算後）'!C223,E223="○",G223="○",I223="○"),"◆","")</f>
        <v/>
      </c>
      <c r="M223" s="23">
        <v>0.13</v>
      </c>
    </row>
    <row r="224" spans="1:13">
      <c r="A224" s="25"/>
      <c r="B224" s="25"/>
      <c r="C224" s="24">
        <v>38565</v>
      </c>
      <c r="D224" s="23" t="s">
        <v>67</v>
      </c>
      <c r="E224" s="64" t="str">
        <f>IFERROR(IF(D224=計算シート!$B$7,"○",""),"")</f>
        <v/>
      </c>
      <c r="F224" s="23" t="s">
        <v>512</v>
      </c>
      <c r="G224" s="64" t="str">
        <f>IFERROR(IF(AND(計算シート!$B$11&gt;=4100,計算シート!$B$11&lt;=11900),"○",""),"")</f>
        <v/>
      </c>
      <c r="H224" s="23" t="s">
        <v>276</v>
      </c>
      <c r="I224" s="64" t="str">
        <f t="shared" ref="I224:I235" si="23">G224</f>
        <v/>
      </c>
      <c r="J224" s="64">
        <f>ROUNDDOWN(0.8*計算シート!$B$11-0.3*((計算シート!$B$11-4100)/(11900-4100))*計算シート!$B$11,0)</f>
        <v>0</v>
      </c>
      <c r="K224" s="64" t="str">
        <f>IF(AND(計算シート!$E$3='計算式あて（再計算後）'!C224,E224="○",G224="○",I224="○"),"★","")</f>
        <v/>
      </c>
      <c r="L224" s="66" t="str">
        <f>IF(AND(計算シート!$E$5='計算式あて（再計算後）'!C224,E224="○",G224="○",I224="○"),"◆","")</f>
        <v/>
      </c>
      <c r="M224" s="23">
        <v>0.13</v>
      </c>
    </row>
    <row r="225" spans="1:13">
      <c r="A225" s="25"/>
      <c r="B225" s="25"/>
      <c r="C225" s="24">
        <v>38565</v>
      </c>
      <c r="D225" s="23" t="s">
        <v>67</v>
      </c>
      <c r="E225" s="64" t="str">
        <f>IFERROR(IF(D225=計算シート!$B$7,"○",""),"")</f>
        <v/>
      </c>
      <c r="F225" s="23" t="s">
        <v>513</v>
      </c>
      <c r="G225" s="64" t="str">
        <f>IFERROR(IF(AND(計算シート!$B$11&gt;11900,計算シート!$B$11&lt;=12820),"○",""),"")</f>
        <v/>
      </c>
      <c r="H225" s="23" t="s">
        <v>82</v>
      </c>
      <c r="I225" s="64" t="str">
        <f t="shared" si="23"/>
        <v/>
      </c>
      <c r="J225" s="64">
        <f>ROUNDDOWN(計算シート!$B$11*0.5,0)</f>
        <v>0</v>
      </c>
      <c r="K225" s="64" t="str">
        <f>IF(AND(計算シート!$E$3='計算式あて（再計算後）'!C225,E225="○",G225="○",I225="○"),"★","")</f>
        <v/>
      </c>
      <c r="L225" s="66" t="str">
        <f>IF(AND(計算シート!$E$5='計算式あて（再計算後）'!C225,E225="○",G225="○",I225="○"),"◆","")</f>
        <v/>
      </c>
      <c r="M225" s="23">
        <v>0.13</v>
      </c>
    </row>
    <row r="226" spans="1:13">
      <c r="A226" s="25"/>
      <c r="B226" s="25"/>
      <c r="C226" s="24">
        <v>38565</v>
      </c>
      <c r="D226" s="23" t="s">
        <v>67</v>
      </c>
      <c r="E226" s="64" t="str">
        <f>IFERROR(IF(D226=計算シート!$B$7,"○",""),"")</f>
        <v/>
      </c>
      <c r="F226" s="23" t="s">
        <v>281</v>
      </c>
      <c r="G226" s="64" t="str">
        <f>IFERROR(IF(計算シート!$B$11&gt;12820,"○",""),"")</f>
        <v/>
      </c>
      <c r="H226" s="23" t="s">
        <v>283</v>
      </c>
      <c r="I226" s="64" t="str">
        <f t="shared" si="23"/>
        <v/>
      </c>
      <c r="J226" s="64">
        <v>6410</v>
      </c>
      <c r="K226" s="64" t="str">
        <f>IF(AND(計算シート!$E$3='計算式あて（再計算後）'!C226,E226="○",G226="○",I226="○"),"★","")</f>
        <v/>
      </c>
      <c r="L226" s="66" t="str">
        <f>IF(AND(計算シート!$E$5='計算式あて（再計算後）'!C226,E226="○",G226="○",I226="○"),"◆","")</f>
        <v/>
      </c>
      <c r="M226" s="23">
        <v>0.13</v>
      </c>
    </row>
    <row r="227" spans="1:13">
      <c r="A227" s="25"/>
      <c r="B227" s="25"/>
      <c r="C227" s="24">
        <v>38565</v>
      </c>
      <c r="D227" s="23" t="s">
        <v>68</v>
      </c>
      <c r="E227" s="64" t="str">
        <f>IFERROR(IF(D227=計算シート!$B$7,"○",""),"")</f>
        <v/>
      </c>
      <c r="F227" s="23" t="s">
        <v>256</v>
      </c>
      <c r="G227" s="64" t="str">
        <f>IFERROR(IF(AND(計算シート!$B$11&gt;=2080,計算シート!$B$11&lt;4100),"○",""),"")</f>
        <v/>
      </c>
      <c r="H227" s="23" t="s">
        <v>80</v>
      </c>
      <c r="I227" s="64" t="str">
        <f t="shared" si="23"/>
        <v/>
      </c>
      <c r="J227" s="64">
        <f>ROUNDDOWN(計算シート!$B$11*0.8,0)</f>
        <v>0</v>
      </c>
      <c r="K227" s="64" t="str">
        <f>IF(AND(計算シート!$E$3='計算式あて（再計算後）'!C227,E227="○",G227="○",I227="○"),"★","")</f>
        <v/>
      </c>
      <c r="L227" s="66" t="str">
        <f>IF(AND(計算シート!$E$5='計算式あて（再計算後）'!C227,E227="○",G227="○",I227="○"),"◆","")</f>
        <v/>
      </c>
      <c r="M227" s="23">
        <v>0.13</v>
      </c>
    </row>
    <row r="228" spans="1:13">
      <c r="A228" s="25"/>
      <c r="B228" s="25"/>
      <c r="C228" s="24">
        <v>38565</v>
      </c>
      <c r="D228" s="23" t="s">
        <v>68</v>
      </c>
      <c r="E228" s="64" t="str">
        <f>IFERROR(IF(D228=計算シート!$B$7,"○",""),"")</f>
        <v/>
      </c>
      <c r="F228" s="23" t="s">
        <v>512</v>
      </c>
      <c r="G228" s="64" t="str">
        <f>IFERROR(IF(AND(計算シート!$B$11&gt;=4100,計算シート!$B$11&lt;=11900),"○",""),"")</f>
        <v/>
      </c>
      <c r="H228" s="23" t="s">
        <v>276</v>
      </c>
      <c r="I228" s="64" t="str">
        <f t="shared" si="23"/>
        <v/>
      </c>
      <c r="J228" s="64">
        <f>ROUNDDOWN(0.8*計算シート!$B$11-0.3*((計算シート!$B$11-4100)/(11900-4100))*計算シート!$B$11,0)</f>
        <v>0</v>
      </c>
      <c r="K228" s="64" t="str">
        <f>IF(AND(計算シート!$E$3='計算式あて（再計算後）'!C228,E228="○",G228="○",I228="○"),"★","")</f>
        <v/>
      </c>
      <c r="L228" s="66" t="str">
        <f>IF(AND(計算シート!$E$5='計算式あて（再計算後）'!C228,E228="○",G228="○",I228="○"),"◆","")</f>
        <v/>
      </c>
      <c r="M228" s="23">
        <v>0.13</v>
      </c>
    </row>
    <row r="229" spans="1:13">
      <c r="A229" s="25"/>
      <c r="B229" s="25"/>
      <c r="C229" s="24">
        <v>38565</v>
      </c>
      <c r="D229" s="23" t="s">
        <v>68</v>
      </c>
      <c r="E229" s="64" t="str">
        <f>IFERROR(IF(D229=計算シート!$B$7,"○",""),"")</f>
        <v/>
      </c>
      <c r="F229" s="23" t="s">
        <v>514</v>
      </c>
      <c r="G229" s="64" t="str">
        <f>IFERROR(IF(AND(計算シート!$B$11&gt;11900,計算シート!$B$11&lt;=14230),"○",""),"")</f>
        <v/>
      </c>
      <c r="H229" s="23" t="s">
        <v>82</v>
      </c>
      <c r="I229" s="64" t="str">
        <f t="shared" si="23"/>
        <v/>
      </c>
      <c r="J229" s="64">
        <f>ROUNDDOWN(計算シート!$B$11*0.5,0)</f>
        <v>0</v>
      </c>
      <c r="K229" s="64" t="str">
        <f>IF(AND(計算シート!$E$3='計算式あて（再計算後）'!C229,E229="○",G229="○",I229="○"),"★","")</f>
        <v/>
      </c>
      <c r="L229" s="66" t="str">
        <f>IF(AND(計算シート!$E$5='計算式あて（再計算後）'!C229,E229="○",G229="○",I229="○"),"◆","")</f>
        <v/>
      </c>
      <c r="M229" s="23">
        <v>0.13</v>
      </c>
    </row>
    <row r="230" spans="1:13">
      <c r="A230" s="25"/>
      <c r="B230" s="25"/>
      <c r="C230" s="24">
        <v>38565</v>
      </c>
      <c r="D230" s="23" t="s">
        <v>68</v>
      </c>
      <c r="E230" s="64" t="str">
        <f>IFERROR(IF(D230=計算シート!$B$7,"○",""),"")</f>
        <v/>
      </c>
      <c r="F230" s="23" t="s">
        <v>190</v>
      </c>
      <c r="G230" s="64" t="str">
        <f>IFERROR(IF(計算シート!$B$11&gt;14230,"○",""),"")</f>
        <v/>
      </c>
      <c r="H230" s="23" t="s">
        <v>193</v>
      </c>
      <c r="I230" s="64" t="str">
        <f t="shared" si="23"/>
        <v/>
      </c>
      <c r="J230" s="64">
        <v>7115</v>
      </c>
      <c r="K230" s="64" t="str">
        <f>IF(AND(計算シート!$E$3='計算式あて（再計算後）'!C230,E230="○",G230="○",I230="○"),"★","")</f>
        <v/>
      </c>
      <c r="L230" s="66" t="str">
        <f>IF(AND(計算シート!$E$5='計算式あて（再計算後）'!C230,E230="○",G230="○",I230="○"),"◆","")</f>
        <v/>
      </c>
      <c r="M230" s="23">
        <v>0.13</v>
      </c>
    </row>
    <row r="231" spans="1:13">
      <c r="A231" s="25"/>
      <c r="B231" s="25"/>
      <c r="C231" s="24">
        <v>38565</v>
      </c>
      <c r="D231" s="23" t="s">
        <v>69</v>
      </c>
      <c r="E231" s="64" t="str">
        <f>IFERROR(IF(D231=計算シート!$B$7,"○",""),"")</f>
        <v/>
      </c>
      <c r="F231" s="23" t="s">
        <v>256</v>
      </c>
      <c r="G231" s="64" t="str">
        <f>IFERROR(IF(AND(計算シート!$B$11&gt;=2080,計算シート!$B$11&lt;4100),"○",""),"")</f>
        <v/>
      </c>
      <c r="H231" s="23" t="s">
        <v>80</v>
      </c>
      <c r="I231" s="64" t="str">
        <f t="shared" si="23"/>
        <v/>
      </c>
      <c r="J231" s="64">
        <f>ROUNDDOWN(計算シート!$B$11*0.8,0)</f>
        <v>0</v>
      </c>
      <c r="K231" s="64" t="str">
        <f>IF(AND(計算シート!$E$3='計算式あて（再計算後）'!C231,E231="○",G231="○",I231="○"),"★","")</f>
        <v/>
      </c>
      <c r="L231" s="66" t="str">
        <f>IF(AND(計算シート!$E$5='計算式あて（再計算後）'!C231,E231="○",G231="○",I231="○"),"◆","")</f>
        <v/>
      </c>
      <c r="M231" s="23">
        <v>0.13</v>
      </c>
    </row>
    <row r="232" spans="1:13">
      <c r="A232" s="25"/>
      <c r="B232" s="25"/>
      <c r="C232" s="24">
        <v>38565</v>
      </c>
      <c r="D232" s="23" t="s">
        <v>69</v>
      </c>
      <c r="E232" s="64" t="str">
        <f>IFERROR(IF(D232=計算シート!$B$7,"○",""),"")</f>
        <v/>
      </c>
      <c r="F232" s="23" t="s">
        <v>512</v>
      </c>
      <c r="G232" s="64" t="str">
        <f>IFERROR(IF(AND(計算シート!$B$11&gt;=4100,計算シート!$B$11&lt;=11900),"○",""),"")</f>
        <v/>
      </c>
      <c r="H232" s="23" t="s">
        <v>276</v>
      </c>
      <c r="I232" s="64" t="str">
        <f t="shared" si="23"/>
        <v/>
      </c>
      <c r="J232" s="64">
        <f>ROUNDDOWN(0.8*計算シート!$B$11-0.3*((計算シート!$B$11-4100)/(11900-4100))*計算シート!$B$11,0)</f>
        <v>0</v>
      </c>
      <c r="K232" s="64" t="str">
        <f>IF(AND(計算シート!$E$3='計算式あて（再計算後）'!C232,E232="○",G232="○",I232="○"),"★","")</f>
        <v/>
      </c>
      <c r="L232" s="66" t="str">
        <f>IF(AND(計算シート!$E$5='計算式あて（再計算後）'!C232,E232="○",G232="○",I232="○"),"◆","")</f>
        <v/>
      </c>
      <c r="M232" s="23">
        <v>0.13</v>
      </c>
    </row>
    <row r="233" spans="1:13">
      <c r="A233" s="25"/>
      <c r="B233" s="25"/>
      <c r="C233" s="24">
        <v>38565</v>
      </c>
      <c r="D233" s="23" t="s">
        <v>69</v>
      </c>
      <c r="E233" s="64" t="str">
        <f>IFERROR(IF(D233=計算シート!$B$7,"○",""),"")</f>
        <v/>
      </c>
      <c r="F233" s="23" t="s">
        <v>515</v>
      </c>
      <c r="G233" s="64" t="str">
        <f>IFERROR(IF(AND(計算シート!$B$11&gt;11900,計算シート!$B$11&lt;=15660),"○",""),"")</f>
        <v/>
      </c>
      <c r="H233" s="23" t="s">
        <v>82</v>
      </c>
      <c r="I233" s="64" t="str">
        <f t="shared" si="23"/>
        <v/>
      </c>
      <c r="J233" s="64">
        <f>ROUNDDOWN(計算シート!$B$11*0.5,0)</f>
        <v>0</v>
      </c>
      <c r="K233" s="64" t="str">
        <f>IF(AND(計算シート!$E$3='計算式あて（再計算後）'!C233,E233="○",G233="○",I233="○"),"★","")</f>
        <v/>
      </c>
      <c r="L233" s="66" t="str">
        <f>IF(AND(計算シート!$E$5='計算式あて（再計算後）'!C233,E233="○",G233="○",I233="○"),"◆","")</f>
        <v/>
      </c>
      <c r="M233" s="23">
        <v>0.13</v>
      </c>
    </row>
    <row r="234" spans="1:13">
      <c r="A234" s="25"/>
      <c r="B234" s="25"/>
      <c r="C234" s="24">
        <v>38565</v>
      </c>
      <c r="D234" s="23" t="s">
        <v>69</v>
      </c>
      <c r="E234" s="64" t="str">
        <f>IFERROR(IF(D234=計算シート!$B$7,"○",""),"")</f>
        <v/>
      </c>
      <c r="F234" s="23" t="s">
        <v>167</v>
      </c>
      <c r="G234" s="64" t="str">
        <f>IFERROR(IF(計算シート!$B$11&gt;15660,"○",""),"")</f>
        <v/>
      </c>
      <c r="H234" s="23" t="s">
        <v>174</v>
      </c>
      <c r="I234" s="64" t="str">
        <f t="shared" si="23"/>
        <v/>
      </c>
      <c r="J234" s="64">
        <v>7830</v>
      </c>
      <c r="K234" s="64" t="str">
        <f>IF(AND(計算シート!$E$3='計算式あて（再計算後）'!C234,E234="○",G234="○",I234="○"),"★","")</f>
        <v/>
      </c>
      <c r="L234" s="66" t="str">
        <f>IF(AND(計算シート!$E$5='計算式あて（再計算後）'!C234,E234="○",G234="○",I234="○"),"◆","")</f>
        <v/>
      </c>
      <c r="M234" s="23">
        <v>0.13</v>
      </c>
    </row>
    <row r="235" spans="1:13">
      <c r="A235" s="25"/>
      <c r="B235" s="25"/>
      <c r="C235" s="24">
        <v>38565</v>
      </c>
      <c r="D235" s="23" t="s">
        <v>70</v>
      </c>
      <c r="E235" s="64" t="str">
        <f>IFERROR(IF(D235=計算シート!$B$7,"○",""),"")</f>
        <v/>
      </c>
      <c r="F235" s="23" t="s">
        <v>256</v>
      </c>
      <c r="G235" s="64" t="str">
        <f>IFERROR(IF(AND(計算シート!$B$11&gt;=2080,計算シート!$B$11&lt;4100),"○",""),"")</f>
        <v/>
      </c>
      <c r="H235" s="23" t="s">
        <v>80</v>
      </c>
      <c r="I235" s="64" t="str">
        <f t="shared" si="23"/>
        <v/>
      </c>
      <c r="J235" s="64">
        <f>ROUNDDOWN(計算シート!$B$11*0.8,0)</f>
        <v>0</v>
      </c>
      <c r="K235" s="64" t="str">
        <f>IF(AND(計算シート!$E$3='計算式あて（再計算後）'!C235,E235="○",G235="○",I235="○"),"★","")</f>
        <v/>
      </c>
      <c r="L235" s="66" t="str">
        <f>IF(AND(計算シート!$E$5='計算式あて（再計算後）'!C235,E235="○",G235="○",I235="○"),"◆","")</f>
        <v/>
      </c>
      <c r="M235" s="23">
        <v>0.13</v>
      </c>
    </row>
    <row r="236" spans="1:13">
      <c r="A236" s="25"/>
      <c r="B236" s="25"/>
      <c r="C236" s="24">
        <v>38565</v>
      </c>
      <c r="D236" s="23" t="s">
        <v>70</v>
      </c>
      <c r="E236" s="64" t="str">
        <f>IFERROR(IF(D236=計算シート!$B$7,"○",""),"")</f>
        <v/>
      </c>
      <c r="F236" s="23" t="s">
        <v>516</v>
      </c>
      <c r="G236" s="64" t="str">
        <f>IFERROR(IF(AND(計算シート!$B$11&gt;=4100,計算シート!$B$11&lt;=10670),"○",""),"")</f>
        <v/>
      </c>
      <c r="H236" s="23" t="s">
        <v>277</v>
      </c>
      <c r="I236" s="64" t="str">
        <f>IFERROR(IF(J236&lt;J237,"○",""),"")</f>
        <v>○</v>
      </c>
      <c r="J236" s="64">
        <f>ROUNDDOWN(0.8*計算シート!$B$11-0.35*((計算シート!$B$11-4100)/(10670-4100))*計算シート!$B$11,0)</f>
        <v>0</v>
      </c>
      <c r="K236" s="64" t="str">
        <f>IF(AND(計算シート!$E$3='計算式あて（再計算後）'!C236,E236="○",G236="○",I236="○"),"★","")</f>
        <v/>
      </c>
      <c r="L236" s="66" t="str">
        <f>IF(AND(計算シート!$E$5='計算式あて（再計算後）'!C236,E236="○",G236="○",I236="○"),"◆","")</f>
        <v/>
      </c>
      <c r="M236" s="23">
        <v>0.13</v>
      </c>
    </row>
    <row r="237" spans="1:13">
      <c r="A237" s="25"/>
      <c r="B237" s="25"/>
      <c r="C237" s="24">
        <v>38565</v>
      </c>
      <c r="D237" s="23" t="s">
        <v>70</v>
      </c>
      <c r="E237" s="64" t="str">
        <f>IFERROR(IF(D237=計算シート!$B$7,"○",""),"")</f>
        <v/>
      </c>
      <c r="F237" s="23" t="s">
        <v>516</v>
      </c>
      <c r="G237" s="64" t="str">
        <f>IFERROR(IF(AND(計算シート!$B$11&gt;=4100,計算シート!$B$11&lt;=10670),"○",""),"")</f>
        <v/>
      </c>
      <c r="H237" s="23" t="s">
        <v>278</v>
      </c>
      <c r="I237" s="64" t="str">
        <f>IFERROR(IF(J237&lt;J236,"○",""),"")</f>
        <v/>
      </c>
      <c r="J237" s="64">
        <f>ROUNDDOWN(計算シート!$B$11*0.05+(10670*0.4),0)</f>
        <v>4268</v>
      </c>
      <c r="K237" s="64" t="str">
        <f>IF(AND(計算シート!$E$3='計算式あて（再計算後）'!C237,E237="○",G237="○",I237="○"),"★","")</f>
        <v/>
      </c>
      <c r="L237" s="66" t="str">
        <f>IF(AND(計算シート!$E$5='計算式あて（再計算後）'!C237,E237="○",G237="○",I237="○"),"◆","")</f>
        <v/>
      </c>
      <c r="M237" s="23">
        <v>0.13</v>
      </c>
    </row>
    <row r="238" spans="1:13">
      <c r="A238" s="25"/>
      <c r="B238" s="25"/>
      <c r="C238" s="24">
        <v>38565</v>
      </c>
      <c r="D238" s="23" t="s">
        <v>70</v>
      </c>
      <c r="E238" s="64" t="str">
        <f>IFERROR(IF(D238=計算シート!$B$7,"○",""),"")</f>
        <v/>
      </c>
      <c r="F238" s="23" t="s">
        <v>279</v>
      </c>
      <c r="G238" s="64" t="str">
        <f>IFERROR(IF(AND(計算シート!$B$11&gt;10670,計算シート!$B$11&lt;=15170),"○",""),"")</f>
        <v/>
      </c>
      <c r="H238" s="23" t="s">
        <v>84</v>
      </c>
      <c r="I238" s="64" t="str">
        <f t="shared" ref="I238:I239" si="24">G238</f>
        <v/>
      </c>
      <c r="J238" s="64">
        <f>ROUNDDOWN(計算シート!$B$11*0.45,0)</f>
        <v>0</v>
      </c>
      <c r="K238" s="64" t="str">
        <f>IF(AND(計算シート!$E$3='計算式あて（再計算後）'!C238,E238="○",G238="○",I238="○"),"★","")</f>
        <v/>
      </c>
      <c r="L238" s="66" t="str">
        <f>IF(AND(計算シート!$E$5='計算式あて（再計算後）'!C238,E238="○",G238="○",I238="○"),"◆","")</f>
        <v/>
      </c>
      <c r="M238" s="23">
        <v>0.13</v>
      </c>
    </row>
    <row r="239" spans="1:13">
      <c r="A239" s="27"/>
      <c r="B239" s="28"/>
      <c r="C239" s="24">
        <v>38565</v>
      </c>
      <c r="D239" s="23" t="s">
        <v>70</v>
      </c>
      <c r="E239" s="64" t="str">
        <f>IFERROR(IF(D239=計算シート!$B$7,"○",""),"")</f>
        <v/>
      </c>
      <c r="F239" s="23" t="s">
        <v>280</v>
      </c>
      <c r="G239" s="64" t="str">
        <f>IFERROR(IF(計算シート!$B$11&gt;15170,"○",""),"")</f>
        <v/>
      </c>
      <c r="H239" s="23" t="s">
        <v>282</v>
      </c>
      <c r="I239" s="64" t="str">
        <f t="shared" si="24"/>
        <v/>
      </c>
      <c r="J239" s="64">
        <v>6826</v>
      </c>
      <c r="K239" s="64" t="str">
        <f>IF(AND(計算シート!$E$3='計算式あて（再計算後）'!C239,E239="○",G239="○",I239="○"),"★","")</f>
        <v/>
      </c>
      <c r="L239" s="66" t="str">
        <f>IF(AND(計算シート!$E$5='計算式あて（再計算後）'!C239,E239="○",G239="○",I239="○"),"◆","")</f>
        <v/>
      </c>
      <c r="M239" s="23">
        <v>0.13</v>
      </c>
    </row>
    <row r="240" spans="1:13" ht="27">
      <c r="A240" s="25"/>
      <c r="B240" s="26" t="s">
        <v>74</v>
      </c>
      <c r="C240" s="24">
        <v>38200</v>
      </c>
      <c r="D240" s="23" t="s">
        <v>67</v>
      </c>
      <c r="E240" s="64" t="str">
        <f>IFERROR(IF(D240=計算シート!$B$7,"○",""),"")</f>
        <v/>
      </c>
      <c r="F240" s="23" t="s">
        <v>284</v>
      </c>
      <c r="G240" s="64" t="str">
        <f>IFERROR(IF(AND(計算シート!$B$11&gt;=2110,計算シート!$B$11&lt;4160),"○",""),"")</f>
        <v/>
      </c>
      <c r="H240" s="23" t="s">
        <v>80</v>
      </c>
      <c r="I240" s="64" t="str">
        <f>G240</f>
        <v/>
      </c>
      <c r="J240" s="64">
        <f>ROUNDDOWN(計算シート!$B$11*0.8,0)</f>
        <v>0</v>
      </c>
      <c r="K240" s="64" t="str">
        <f>IF(AND(計算シート!$E$3='計算式あて（再計算後）'!C240,E240="○",G240="○",I240="○"),"★","")</f>
        <v/>
      </c>
      <c r="L240" s="66" t="str">
        <f>IF(AND(計算シート!$E$5='計算式あて（再計算後）'!C240,E240="○",G240="○",I240="○"),"◆","")</f>
        <v/>
      </c>
      <c r="M240" s="23">
        <v>0.14000000000000001</v>
      </c>
    </row>
    <row r="241" spans="1:13">
      <c r="A241" s="25"/>
      <c r="B241" s="25"/>
      <c r="C241" s="24">
        <v>38200</v>
      </c>
      <c r="D241" s="23" t="s">
        <v>67</v>
      </c>
      <c r="E241" s="64" t="str">
        <f>IFERROR(IF(D241=計算シート!$B$7,"○",""),"")</f>
        <v/>
      </c>
      <c r="F241" s="23" t="s">
        <v>517</v>
      </c>
      <c r="G241" s="64" t="str">
        <f>IFERROR(IF(AND(計算シート!$B$11&gt;=4160,計算シート!$B$11&lt;=12080),"○",""),"")</f>
        <v/>
      </c>
      <c r="H241" s="23" t="s">
        <v>285</v>
      </c>
      <c r="I241" s="64" t="str">
        <f t="shared" ref="I241:I252" si="25">G241</f>
        <v/>
      </c>
      <c r="J241" s="64">
        <f>ROUNDDOWN(0.8*計算シート!$B$11-0.3*((計算シート!$B$11-4160)/(12080-4160))*計算シート!$B$11,0)</f>
        <v>0</v>
      </c>
      <c r="K241" s="64" t="str">
        <f>IF(AND(計算シート!$E$3='計算式あて（再計算後）'!C241,E241="○",G241="○",I241="○"),"★","")</f>
        <v/>
      </c>
      <c r="L241" s="66" t="str">
        <f>IF(AND(計算シート!$E$5='計算式あて（再計算後）'!C241,E241="○",G241="○",I241="○"),"◆","")</f>
        <v/>
      </c>
      <c r="M241" s="23">
        <v>0.14000000000000001</v>
      </c>
    </row>
    <row r="242" spans="1:13">
      <c r="A242" s="25"/>
      <c r="B242" s="25"/>
      <c r="C242" s="24">
        <v>38200</v>
      </c>
      <c r="D242" s="23" t="s">
        <v>67</v>
      </c>
      <c r="E242" s="64" t="str">
        <f>IFERROR(IF(D242=計算シート!$B$7,"○",""),"")</f>
        <v/>
      </c>
      <c r="F242" s="23" t="s">
        <v>518</v>
      </c>
      <c r="G242" s="64" t="str">
        <f>IFERROR(IF(AND(計算シート!$B$11&gt;12080,計算シート!$B$11&lt;=13010),"○",""),"")</f>
        <v/>
      </c>
      <c r="H242" s="23" t="s">
        <v>82</v>
      </c>
      <c r="I242" s="64" t="str">
        <f t="shared" si="25"/>
        <v/>
      </c>
      <c r="J242" s="64">
        <f>ROUNDDOWN(計算シート!$B$11*0.5,0)</f>
        <v>0</v>
      </c>
      <c r="K242" s="64" t="str">
        <f>IF(AND(計算シート!$E$3='計算式あて（再計算後）'!C242,E242="○",G242="○",I242="○"),"★","")</f>
        <v/>
      </c>
      <c r="L242" s="66" t="str">
        <f>IF(AND(計算シート!$E$5='計算式あて（再計算後）'!C242,E242="○",G242="○",I242="○"),"◆","")</f>
        <v/>
      </c>
      <c r="M242" s="23">
        <v>0.14000000000000001</v>
      </c>
    </row>
    <row r="243" spans="1:13">
      <c r="A243" s="25"/>
      <c r="B243" s="25"/>
      <c r="C243" s="24">
        <v>38200</v>
      </c>
      <c r="D243" s="23" t="s">
        <v>67</v>
      </c>
      <c r="E243" s="64" t="str">
        <f>IFERROR(IF(D243=計算シート!$B$7,"○",""),"")</f>
        <v/>
      </c>
      <c r="F243" s="23" t="s">
        <v>292</v>
      </c>
      <c r="G243" s="64" t="str">
        <f>IFERROR(IF(計算シート!$B$11&gt;13010,"○",""),"")</f>
        <v/>
      </c>
      <c r="H243" s="23" t="s">
        <v>296</v>
      </c>
      <c r="I243" s="64" t="str">
        <f t="shared" si="25"/>
        <v/>
      </c>
      <c r="J243" s="64">
        <v>6505</v>
      </c>
      <c r="K243" s="64" t="str">
        <f>IF(AND(計算シート!$E$3='計算式あて（再計算後）'!C243,E243="○",G243="○",I243="○"),"★","")</f>
        <v/>
      </c>
      <c r="L243" s="66" t="str">
        <f>IF(AND(計算シート!$E$5='計算式あて（再計算後）'!C243,E243="○",G243="○",I243="○"),"◆","")</f>
        <v/>
      </c>
      <c r="M243" s="23">
        <v>0.14000000000000001</v>
      </c>
    </row>
    <row r="244" spans="1:13">
      <c r="A244" s="25"/>
      <c r="B244" s="25"/>
      <c r="C244" s="24">
        <v>38200</v>
      </c>
      <c r="D244" s="23" t="s">
        <v>68</v>
      </c>
      <c r="E244" s="64" t="str">
        <f>IFERROR(IF(D244=計算シート!$B$7,"○",""),"")</f>
        <v/>
      </c>
      <c r="F244" s="23" t="s">
        <v>284</v>
      </c>
      <c r="G244" s="64" t="str">
        <f>IFERROR(IF(AND(計算シート!$B$11&gt;=2110,計算シート!$B$11&lt;4160),"○",""),"")</f>
        <v/>
      </c>
      <c r="H244" s="23" t="s">
        <v>80</v>
      </c>
      <c r="I244" s="64" t="str">
        <f t="shared" si="25"/>
        <v/>
      </c>
      <c r="J244" s="64">
        <f>ROUNDDOWN(計算シート!$B$11*0.8,0)</f>
        <v>0</v>
      </c>
      <c r="K244" s="64" t="str">
        <f>IF(AND(計算シート!$E$3='計算式あて（再計算後）'!C244,E244="○",G244="○",I244="○"),"★","")</f>
        <v/>
      </c>
      <c r="L244" s="66" t="str">
        <f>IF(AND(計算シート!$E$5='計算式あて（再計算後）'!C244,E244="○",G244="○",I244="○"),"◆","")</f>
        <v/>
      </c>
      <c r="M244" s="23">
        <v>0.14000000000000001</v>
      </c>
    </row>
    <row r="245" spans="1:13">
      <c r="A245" s="25"/>
      <c r="B245" s="25"/>
      <c r="C245" s="24">
        <v>38200</v>
      </c>
      <c r="D245" s="23" t="s">
        <v>68</v>
      </c>
      <c r="E245" s="64" t="str">
        <f>IFERROR(IF(D245=計算シート!$B$7,"○",""),"")</f>
        <v/>
      </c>
      <c r="F245" s="23" t="s">
        <v>517</v>
      </c>
      <c r="G245" s="64" t="str">
        <f>IFERROR(IF(AND(計算シート!$B$11&gt;=4160,計算シート!$B$11&lt;=12080),"○",""),"")</f>
        <v/>
      </c>
      <c r="H245" s="23" t="s">
        <v>285</v>
      </c>
      <c r="I245" s="64" t="str">
        <f t="shared" si="25"/>
        <v/>
      </c>
      <c r="J245" s="64">
        <f>ROUNDDOWN(0.8*計算シート!$B$11-0.3*((計算シート!$B$11-4160)/(12080-4160))*計算シート!$B$11,0)</f>
        <v>0</v>
      </c>
      <c r="K245" s="64" t="str">
        <f>IF(AND(計算シート!$E$3='計算式あて（再計算後）'!C245,E245="○",G245="○",I245="○"),"★","")</f>
        <v/>
      </c>
      <c r="L245" s="66" t="str">
        <f>IF(AND(計算シート!$E$5='計算式あて（再計算後）'!C245,E245="○",G245="○",I245="○"),"◆","")</f>
        <v/>
      </c>
      <c r="M245" s="23">
        <v>0.14000000000000001</v>
      </c>
    </row>
    <row r="246" spans="1:13">
      <c r="A246" s="25"/>
      <c r="B246" s="25"/>
      <c r="C246" s="24">
        <v>38200</v>
      </c>
      <c r="D246" s="23" t="s">
        <v>68</v>
      </c>
      <c r="E246" s="64" t="str">
        <f>IFERROR(IF(D246=計算シート!$B$7,"○",""),"")</f>
        <v/>
      </c>
      <c r="F246" s="23" t="s">
        <v>519</v>
      </c>
      <c r="G246" s="64" t="str">
        <f>IFERROR(IF(AND(計算シート!$B$11&gt;12080,計算シート!$B$11&lt;=14450),"○",""),"")</f>
        <v/>
      </c>
      <c r="H246" s="23" t="s">
        <v>82</v>
      </c>
      <c r="I246" s="64" t="str">
        <f t="shared" si="25"/>
        <v/>
      </c>
      <c r="J246" s="64">
        <f>ROUNDDOWN(計算シート!$B$11*0.5,0)</f>
        <v>0</v>
      </c>
      <c r="K246" s="64" t="str">
        <f>IF(AND(計算シート!$E$3='計算式あて（再計算後）'!C246,E246="○",G246="○",I246="○"),"★","")</f>
        <v/>
      </c>
      <c r="L246" s="66" t="str">
        <f>IF(AND(計算シート!$E$5='計算式あて（再計算後）'!C246,E246="○",G246="○",I246="○"),"◆","")</f>
        <v/>
      </c>
      <c r="M246" s="23">
        <v>0.14000000000000001</v>
      </c>
    </row>
    <row r="247" spans="1:13">
      <c r="A247" s="25"/>
      <c r="B247" s="25"/>
      <c r="C247" s="24">
        <v>38200</v>
      </c>
      <c r="D247" s="23" t="s">
        <v>68</v>
      </c>
      <c r="E247" s="64" t="str">
        <f>IFERROR(IF(D247=計算シート!$B$7,"○",""),"")</f>
        <v/>
      </c>
      <c r="F247" s="23" t="s">
        <v>286</v>
      </c>
      <c r="G247" s="64" t="str">
        <f>IFERROR(IF(計算シート!$B$11&gt;14450,"○",""),"")</f>
        <v/>
      </c>
      <c r="H247" s="23" t="s">
        <v>293</v>
      </c>
      <c r="I247" s="64" t="str">
        <f t="shared" si="25"/>
        <v/>
      </c>
      <c r="J247" s="64">
        <v>7225</v>
      </c>
      <c r="K247" s="64" t="str">
        <f>IF(AND(計算シート!$E$3='計算式あて（再計算後）'!C247,E247="○",G247="○",I247="○"),"★","")</f>
        <v/>
      </c>
      <c r="L247" s="66" t="str">
        <f>IF(AND(計算シート!$E$5='計算式あて（再計算後）'!C247,E247="○",G247="○",I247="○"),"◆","")</f>
        <v/>
      </c>
      <c r="M247" s="23">
        <v>0.14000000000000001</v>
      </c>
    </row>
    <row r="248" spans="1:13">
      <c r="A248" s="25"/>
      <c r="B248" s="25"/>
      <c r="C248" s="24">
        <v>38200</v>
      </c>
      <c r="D248" s="23" t="s">
        <v>69</v>
      </c>
      <c r="E248" s="64" t="str">
        <f>IFERROR(IF(D248=計算シート!$B$7,"○",""),"")</f>
        <v/>
      </c>
      <c r="F248" s="23" t="s">
        <v>284</v>
      </c>
      <c r="G248" s="64" t="str">
        <f>IFERROR(IF(AND(計算シート!$B$11&gt;=2110,計算シート!$B$11&lt;4160),"○",""),"")</f>
        <v/>
      </c>
      <c r="H248" s="23" t="s">
        <v>80</v>
      </c>
      <c r="I248" s="64" t="str">
        <f t="shared" si="25"/>
        <v/>
      </c>
      <c r="J248" s="64">
        <f>ROUNDDOWN(計算シート!$B$11*0.8,0)</f>
        <v>0</v>
      </c>
      <c r="K248" s="64" t="str">
        <f>IF(AND(計算シート!$E$3='計算式あて（再計算後）'!C248,E248="○",G248="○",I248="○"),"★","")</f>
        <v/>
      </c>
      <c r="L248" s="66" t="str">
        <f>IF(AND(計算シート!$E$5='計算式あて（再計算後）'!C248,E248="○",G248="○",I248="○"),"◆","")</f>
        <v/>
      </c>
      <c r="M248" s="23">
        <v>0.14000000000000001</v>
      </c>
    </row>
    <row r="249" spans="1:13">
      <c r="A249" s="25"/>
      <c r="B249" s="25"/>
      <c r="C249" s="24">
        <v>38200</v>
      </c>
      <c r="D249" s="23" t="s">
        <v>69</v>
      </c>
      <c r="E249" s="64" t="str">
        <f>IFERROR(IF(D249=計算シート!$B$7,"○",""),"")</f>
        <v/>
      </c>
      <c r="F249" s="23" t="s">
        <v>517</v>
      </c>
      <c r="G249" s="64" t="str">
        <f>IFERROR(IF(AND(計算シート!$B$11&gt;=4160,計算シート!$B$11&lt;=12080),"○",""),"")</f>
        <v/>
      </c>
      <c r="H249" s="23" t="s">
        <v>285</v>
      </c>
      <c r="I249" s="64" t="str">
        <f t="shared" si="25"/>
        <v/>
      </c>
      <c r="J249" s="64">
        <f>ROUNDDOWN(0.8*計算シート!$B$11-0.3*((計算シート!$B$11-4160)/(12080-4160))*計算シート!$B$11,0)</f>
        <v>0</v>
      </c>
      <c r="K249" s="64" t="str">
        <f>IF(AND(計算シート!$E$3='計算式あて（再計算後）'!C249,E249="○",G249="○",I249="○"),"★","")</f>
        <v/>
      </c>
      <c r="L249" s="66" t="str">
        <f>IF(AND(計算シート!$E$5='計算式あて（再計算後）'!C249,E249="○",G249="○",I249="○"),"◆","")</f>
        <v/>
      </c>
      <c r="M249" s="23">
        <v>0.14000000000000001</v>
      </c>
    </row>
    <row r="250" spans="1:13">
      <c r="A250" s="25"/>
      <c r="B250" s="25"/>
      <c r="C250" s="24">
        <v>38200</v>
      </c>
      <c r="D250" s="23" t="s">
        <v>69</v>
      </c>
      <c r="E250" s="64" t="str">
        <f>IFERROR(IF(D250=計算シート!$B$7,"○",""),"")</f>
        <v/>
      </c>
      <c r="F250" s="23" t="s">
        <v>520</v>
      </c>
      <c r="G250" s="64" t="str">
        <f>IFERROR(IF(AND(計算シート!$B$11&gt;12080,計算シート!$B$11&lt;=15900),"○",""),"")</f>
        <v/>
      </c>
      <c r="H250" s="23" t="s">
        <v>82</v>
      </c>
      <c r="I250" s="64" t="str">
        <f t="shared" si="25"/>
        <v/>
      </c>
      <c r="J250" s="64">
        <f>ROUNDDOWN(計算シート!$B$11*0.5,0)</f>
        <v>0</v>
      </c>
      <c r="K250" s="64" t="str">
        <f>IF(AND(計算シート!$E$3='計算式あて（再計算後）'!C250,E250="○",G250="○",I250="○"),"★","")</f>
        <v/>
      </c>
      <c r="L250" s="66" t="str">
        <f>IF(AND(計算シート!$E$5='計算式あて（再計算後）'!C250,E250="○",G250="○",I250="○"),"◆","")</f>
        <v/>
      </c>
      <c r="M250" s="23">
        <v>0.14000000000000001</v>
      </c>
    </row>
    <row r="251" spans="1:13">
      <c r="A251" s="25"/>
      <c r="B251" s="25"/>
      <c r="C251" s="24">
        <v>38200</v>
      </c>
      <c r="D251" s="23" t="s">
        <v>69</v>
      </c>
      <c r="E251" s="64" t="str">
        <f>IFERROR(IF(D251=計算シート!$B$7,"○",""),"")</f>
        <v/>
      </c>
      <c r="F251" s="23" t="s">
        <v>287</v>
      </c>
      <c r="G251" s="64" t="str">
        <f>IFERROR(IF(計算シート!$B$11&gt;15900,"○",""),"")</f>
        <v/>
      </c>
      <c r="H251" s="23" t="s">
        <v>294</v>
      </c>
      <c r="I251" s="64" t="str">
        <f t="shared" si="25"/>
        <v/>
      </c>
      <c r="J251" s="64">
        <v>7950</v>
      </c>
      <c r="K251" s="64" t="str">
        <f>IF(AND(計算シート!$E$3='計算式あて（再計算後）'!C251,E251="○",G251="○",I251="○"),"★","")</f>
        <v/>
      </c>
      <c r="L251" s="66" t="str">
        <f>IF(AND(計算シート!$E$5='計算式あて（再計算後）'!C251,E251="○",G251="○",I251="○"),"◆","")</f>
        <v/>
      </c>
      <c r="M251" s="23">
        <v>0.14000000000000001</v>
      </c>
    </row>
    <row r="252" spans="1:13">
      <c r="A252" s="25"/>
      <c r="B252" s="25"/>
      <c r="C252" s="24">
        <v>38200</v>
      </c>
      <c r="D252" s="23" t="s">
        <v>70</v>
      </c>
      <c r="E252" s="64" t="str">
        <f>IFERROR(IF(D252=計算シート!$B$7,"○",""),"")</f>
        <v/>
      </c>
      <c r="F252" s="23" t="s">
        <v>284</v>
      </c>
      <c r="G252" s="64" t="str">
        <f>IFERROR(IF(AND(計算シート!$B$11&gt;=2110,計算シート!$B$11&lt;4160),"○",""),"")</f>
        <v/>
      </c>
      <c r="H252" s="23" t="s">
        <v>80</v>
      </c>
      <c r="I252" s="64" t="str">
        <f t="shared" si="25"/>
        <v/>
      </c>
      <c r="J252" s="64">
        <f>ROUNDDOWN(計算シート!$B$11*0.8,0)</f>
        <v>0</v>
      </c>
      <c r="K252" s="64" t="str">
        <f>IF(AND(計算シート!$E$3='計算式あて（再計算後）'!C252,E252="○",G252="○",I252="○"),"★","")</f>
        <v/>
      </c>
      <c r="L252" s="66" t="str">
        <f>IF(AND(計算シート!$E$5='計算式あて（再計算後）'!C252,E252="○",G252="○",I252="○"),"◆","")</f>
        <v/>
      </c>
      <c r="M252" s="23">
        <v>0.14000000000000001</v>
      </c>
    </row>
    <row r="253" spans="1:13">
      <c r="A253" s="25"/>
      <c r="B253" s="25"/>
      <c r="C253" s="24">
        <v>38200</v>
      </c>
      <c r="D253" s="23" t="s">
        <v>70</v>
      </c>
      <c r="E253" s="64" t="str">
        <f>IFERROR(IF(D253=計算シート!$B$7,"○",""),"")</f>
        <v/>
      </c>
      <c r="F253" s="23" t="s">
        <v>521</v>
      </c>
      <c r="G253" s="64" t="str">
        <f>IFERROR(IF(AND(計算シート!$B$11&gt;=4160,計算シート!$B$11&lt;=10830),"○",""),"")</f>
        <v/>
      </c>
      <c r="H253" s="23" t="s">
        <v>288</v>
      </c>
      <c r="I253" s="64" t="str">
        <f>IFERROR(IF(J253&lt;J254,"○",""),"")</f>
        <v>○</v>
      </c>
      <c r="J253" s="64">
        <f>ROUNDDOWN(0.8*計算シート!$B$11-0.35*((計算シート!$B$11-4160)/(10830-4160))*計算シート!$B$11,0)</f>
        <v>0</v>
      </c>
      <c r="K253" s="64" t="str">
        <f>IF(AND(計算シート!$E$3='計算式あて（再計算後）'!C253,E253="○",G253="○",I253="○"),"★","")</f>
        <v/>
      </c>
      <c r="L253" s="66" t="str">
        <f>IF(AND(計算シート!$E$5='計算式あて（再計算後）'!C253,E253="○",G253="○",I253="○"),"◆","")</f>
        <v/>
      </c>
      <c r="M253" s="23">
        <v>0.14000000000000001</v>
      </c>
    </row>
    <row r="254" spans="1:13">
      <c r="A254" s="25"/>
      <c r="B254" s="25"/>
      <c r="C254" s="24">
        <v>38200</v>
      </c>
      <c r="D254" s="23" t="s">
        <v>70</v>
      </c>
      <c r="E254" s="64" t="str">
        <f>IFERROR(IF(D254=計算シート!$B$7,"○",""),"")</f>
        <v/>
      </c>
      <c r="F254" s="23" t="s">
        <v>521</v>
      </c>
      <c r="G254" s="64" t="str">
        <f>IFERROR(IF(AND(計算シート!$B$11&gt;=4160,計算シート!$B$11&lt;=10830),"○",""),"")</f>
        <v/>
      </c>
      <c r="H254" s="23" t="s">
        <v>289</v>
      </c>
      <c r="I254" s="64" t="str">
        <f>IFERROR(IF(J254&lt;J253,"○",""),"")</f>
        <v/>
      </c>
      <c r="J254" s="64">
        <f>ROUNDDOWN(計算シート!$B$11*0.05+(10830*0.4),0)</f>
        <v>4332</v>
      </c>
      <c r="K254" s="64" t="str">
        <f>IF(AND(計算シート!$E$3='計算式あて（再計算後）'!C254,E254="○",G254="○",I254="○"),"★","")</f>
        <v/>
      </c>
      <c r="L254" s="66" t="str">
        <f>IF(AND(計算シート!$E$5='計算式あて（再計算後）'!C254,E254="○",G254="○",I254="○"),"◆","")</f>
        <v/>
      </c>
      <c r="M254" s="23">
        <v>0.14000000000000001</v>
      </c>
    </row>
    <row r="255" spans="1:13">
      <c r="A255" s="25"/>
      <c r="B255" s="25"/>
      <c r="C255" s="24">
        <v>38200</v>
      </c>
      <c r="D255" s="23" t="s">
        <v>70</v>
      </c>
      <c r="E255" s="64" t="str">
        <f>IFERROR(IF(D255=計算シート!$B$7,"○",""),"")</f>
        <v/>
      </c>
      <c r="F255" s="23" t="s">
        <v>290</v>
      </c>
      <c r="G255" s="64" t="str">
        <f>IFERROR(IF(AND(計算シート!$B$11&gt;10830,計算シート!$B$11&lt;=15400),"○",""),"")</f>
        <v/>
      </c>
      <c r="H255" s="23" t="s">
        <v>84</v>
      </c>
      <c r="I255" s="64" t="str">
        <f t="shared" ref="I255:I256" si="26">G255</f>
        <v/>
      </c>
      <c r="J255" s="64">
        <f>ROUNDDOWN(計算シート!$B$11*0.45,0)</f>
        <v>0</v>
      </c>
      <c r="K255" s="64" t="str">
        <f>IF(AND(計算シート!$E$3='計算式あて（再計算後）'!C255,E255="○",G255="○",I255="○"),"★","")</f>
        <v/>
      </c>
      <c r="L255" s="66" t="str">
        <f>IF(AND(計算シート!$E$5='計算式あて（再計算後）'!C255,E255="○",G255="○",I255="○"),"◆","")</f>
        <v/>
      </c>
      <c r="M255" s="23">
        <v>0.14000000000000001</v>
      </c>
    </row>
    <row r="256" spans="1:13">
      <c r="A256" s="27"/>
      <c r="B256" s="28"/>
      <c r="C256" s="24">
        <v>38200</v>
      </c>
      <c r="D256" s="23" t="s">
        <v>70</v>
      </c>
      <c r="E256" s="64" t="str">
        <f>IFERROR(IF(D256=計算シート!$B$7,"○",""),"")</f>
        <v/>
      </c>
      <c r="F256" s="23" t="s">
        <v>291</v>
      </c>
      <c r="G256" s="64" t="str">
        <f>IFERROR(IF(計算シート!$B$11&gt;15400,"○",""),"")</f>
        <v/>
      </c>
      <c r="H256" s="23" t="s">
        <v>295</v>
      </c>
      <c r="I256" s="64" t="str">
        <f t="shared" si="26"/>
        <v/>
      </c>
      <c r="J256" s="64">
        <v>6930</v>
      </c>
      <c r="K256" s="64" t="str">
        <f>IF(AND(計算シート!$E$3='計算式あて（再計算後）'!C256,E256="○",G256="○",I256="○"),"★","")</f>
        <v/>
      </c>
      <c r="L256" s="66" t="str">
        <f>IF(AND(計算シート!$E$5='計算式あて（再計算後）'!C256,E256="○",G256="○",I256="○"),"◆","")</f>
        <v/>
      </c>
      <c r="M256" s="23">
        <v>0.14000000000000001</v>
      </c>
    </row>
  </sheetData>
  <phoneticPr fontId="12"/>
  <pageMargins left="0.7" right="0.7" top="0.75" bottom="0.75" header="0.3" footer="0.3"/>
  <pageSetup paperSize="9" scale="4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6"/>
  <sheetViews>
    <sheetView zoomScaleNormal="100" workbookViewId="0">
      <selection activeCell="F4" sqref="F4:G4"/>
    </sheetView>
  </sheetViews>
  <sheetFormatPr defaultRowHeight="13.5"/>
  <cols>
    <col min="1" max="1" width="10.625" customWidth="1"/>
    <col min="3" max="3" width="11.5" customWidth="1"/>
    <col min="4" max="4" width="19.625" customWidth="1"/>
    <col min="5" max="5" width="6.5" style="65" customWidth="1"/>
    <col min="6" max="6" width="28" customWidth="1"/>
    <col min="7" max="7" width="9.875" style="65" customWidth="1"/>
    <col min="8" max="8" width="47.625" bestFit="1" customWidth="1"/>
    <col min="9" max="9" width="7.125" style="65" customWidth="1"/>
    <col min="10" max="10" width="13.5" style="65" customWidth="1"/>
    <col min="11" max="11" width="13.375" style="65" customWidth="1"/>
    <col min="12" max="12" width="13.75" style="67" customWidth="1"/>
    <col min="23" max="23" width="8.875" customWidth="1"/>
  </cols>
  <sheetData>
    <row r="1" spans="1:25" s="9" customFormat="1" ht="49.9" customHeight="1">
      <c r="A1" s="32" t="s">
        <v>147</v>
      </c>
      <c r="B1" s="31"/>
      <c r="C1" s="29" t="s">
        <v>155</v>
      </c>
      <c r="D1" s="22" t="s">
        <v>159</v>
      </c>
      <c r="E1" s="68" t="s">
        <v>85</v>
      </c>
      <c r="F1" s="68" t="s">
        <v>158</v>
      </c>
      <c r="G1" s="68" t="s">
        <v>86</v>
      </c>
      <c r="H1" s="68" t="s">
        <v>157</v>
      </c>
      <c r="I1" s="68" t="s">
        <v>124</v>
      </c>
      <c r="J1" s="68" t="s">
        <v>156</v>
      </c>
      <c r="K1" s="68" t="s">
        <v>443</v>
      </c>
      <c r="L1" s="69" t="s">
        <v>444</v>
      </c>
      <c r="Y1"/>
    </row>
    <row r="2" spans="1:25" ht="27">
      <c r="A2" s="25"/>
      <c r="B2" s="26" t="s">
        <v>414</v>
      </c>
      <c r="C2" s="24">
        <v>43313</v>
      </c>
      <c r="D2" s="23" t="s">
        <v>67</v>
      </c>
      <c r="E2" s="64" t="str">
        <f>IFERROR(IF(D2=計算シート!$B$7,"○",""),"")</f>
        <v/>
      </c>
      <c r="F2" s="23" t="s">
        <v>76</v>
      </c>
      <c r="G2" s="64" t="str">
        <f>IFERROR(IF(AND(計算シート!$B$11&gt;=2480,計算シート!$B$11&lt;4970),"○",""),"")</f>
        <v/>
      </c>
      <c r="H2" s="23" t="s">
        <v>80</v>
      </c>
      <c r="I2" s="64" t="str">
        <f>G2</f>
        <v/>
      </c>
      <c r="J2" s="64">
        <f>ROUNDDOWN(計算シート!$B$11*0.8,0)</f>
        <v>0</v>
      </c>
      <c r="K2" s="64" t="str">
        <f>IF(AND(計算シート!$E$3='計算式あて（当初）'!C2,E2="○",G2="○",I2="○"),"☆","")</f>
        <v/>
      </c>
      <c r="L2" s="66" t="str">
        <f>IF(AND(計算シート!$E$5='計算式あて（当初）'!C2,E2="○",G2="○",I2="○"),"◇","")</f>
        <v/>
      </c>
    </row>
    <row r="3" spans="1:25">
      <c r="A3" s="25"/>
      <c r="B3" s="25"/>
      <c r="C3" s="24">
        <v>43313</v>
      </c>
      <c r="D3" s="23" t="s">
        <v>67</v>
      </c>
      <c r="E3" s="64" t="str">
        <f>IFERROR(IF(D3=計算シート!$B$7,"○",""),"")</f>
        <v/>
      </c>
      <c r="F3" s="23" t="s">
        <v>522</v>
      </c>
      <c r="G3" s="64" t="str">
        <f>IFERROR(IF(AND(計算シート!$B$11&gt;=4970,計算シート!$B$11&lt;=12210),"○",""),"")</f>
        <v/>
      </c>
      <c r="H3" s="23" t="s">
        <v>125</v>
      </c>
      <c r="I3" s="64" t="str">
        <f t="shared" ref="I3:I18" si="0">G3</f>
        <v/>
      </c>
      <c r="J3" s="64">
        <f>ROUNDDOWN(0.8*計算シート!$B$11-0.3*((計算シート!$B$11-4970)/(12210-4970))*計算シート!$B$11,0)</f>
        <v>0</v>
      </c>
      <c r="K3" s="64" t="str">
        <f>IF(AND(計算シート!$E$3='計算式あて（当初）'!C3,E3="○",G3="○",I3="○"),"☆","")</f>
        <v/>
      </c>
      <c r="L3" s="66" t="str">
        <f>IF(AND(計算シート!$E$5='計算式あて（当初）'!C3,E3="○",G3="○",I3="○"),"◇","")</f>
        <v/>
      </c>
    </row>
    <row r="4" spans="1:25">
      <c r="A4" s="25"/>
      <c r="B4" s="25"/>
      <c r="C4" s="24">
        <v>43313</v>
      </c>
      <c r="D4" s="23" t="s">
        <v>67</v>
      </c>
      <c r="E4" s="64" t="str">
        <f>IFERROR(IF(D4=計算シート!$B$7,"○",""),"")</f>
        <v/>
      </c>
      <c r="F4" s="23" t="s">
        <v>523</v>
      </c>
      <c r="G4" s="64" t="str">
        <f>IFERROR(IF(AND(計算シート!$B$11&gt;12210,計算シート!$B$11&lt;=13500),"○",""),"")</f>
        <v/>
      </c>
      <c r="H4" s="23" t="s">
        <v>82</v>
      </c>
      <c r="I4" s="64" t="str">
        <f t="shared" si="0"/>
        <v/>
      </c>
      <c r="J4" s="64">
        <f>ROUNDDOWN(計算シート!$B$11*0.5,0)</f>
        <v>0</v>
      </c>
      <c r="K4" s="64" t="str">
        <f>IF(AND(計算シート!$E$3='計算式あて（当初）'!C4,E4="○",G4="○",I4="○"),"☆","")</f>
        <v/>
      </c>
      <c r="L4" s="66" t="str">
        <f>IF(AND(計算シート!$E$5='計算式あて（当初）'!C4,E4="○",G4="○",I4="○"),"◇","")</f>
        <v/>
      </c>
    </row>
    <row r="5" spans="1:25">
      <c r="A5" s="25"/>
      <c r="B5" s="25"/>
      <c r="C5" s="24">
        <v>43313</v>
      </c>
      <c r="D5" s="23" t="s">
        <v>67</v>
      </c>
      <c r="E5" s="64" t="str">
        <f>IFERROR(IF(D5=計算シート!$B$7,"○",""),"")</f>
        <v/>
      </c>
      <c r="F5" s="23" t="s">
        <v>136</v>
      </c>
      <c r="G5" s="64" t="str">
        <f>IFERROR(IF(計算シート!$B$11&gt;13500,"○",""),"")</f>
        <v/>
      </c>
      <c r="H5" s="23" t="s">
        <v>140</v>
      </c>
      <c r="I5" s="64" t="str">
        <f t="shared" si="0"/>
        <v/>
      </c>
      <c r="J5" s="64">
        <v>6750</v>
      </c>
      <c r="K5" s="64" t="str">
        <f>IF(AND(計算シート!$E$3='計算式あて（当初）'!C5,E5="○",G5="○",I5="○"),"☆","")</f>
        <v/>
      </c>
      <c r="L5" s="66" t="str">
        <f>IF(AND(計算シート!$E$5='計算式あて（当初）'!C5,E5="○",G5="○",I5="○"),"◇","")</f>
        <v/>
      </c>
    </row>
    <row r="6" spans="1:25">
      <c r="A6" s="25"/>
      <c r="B6" s="25"/>
      <c r="C6" s="24">
        <v>43313</v>
      </c>
      <c r="D6" s="23" t="s">
        <v>68</v>
      </c>
      <c r="E6" s="64" t="str">
        <f>IFERROR(IF(D6=計算シート!$B$7,"○",""),"")</f>
        <v/>
      </c>
      <c r="F6" s="23" t="s">
        <v>90</v>
      </c>
      <c r="G6" s="64" t="str">
        <f>IFERROR(IF(AND(計算シート!$B$11&gt;=2480,計算シート!$B$11&lt;4970),"○",""),"")</f>
        <v/>
      </c>
      <c r="H6" s="23" t="s">
        <v>80</v>
      </c>
      <c r="I6" s="64" t="str">
        <f t="shared" si="0"/>
        <v/>
      </c>
      <c r="J6" s="64">
        <f>ROUNDDOWN(計算シート!$B$11*0.8,0)</f>
        <v>0</v>
      </c>
      <c r="K6" s="64" t="str">
        <f>IF(AND(計算シート!$E$3='計算式あて（当初）'!C6,E6="○",G6="○",I6="○"),"☆","")</f>
        <v/>
      </c>
      <c r="L6" s="66" t="str">
        <f>IF(AND(計算シート!$E$5='計算式あて（当初）'!C6,E6="○",G6="○",I6="○"),"◇","")</f>
        <v/>
      </c>
    </row>
    <row r="7" spans="1:25">
      <c r="A7" s="25"/>
      <c r="B7" s="25"/>
      <c r="C7" s="24">
        <v>43313</v>
      </c>
      <c r="D7" s="23" t="s">
        <v>68</v>
      </c>
      <c r="E7" s="64" t="str">
        <f>IFERROR(IF(D7=計算シート!$B$7,"○",""),"")</f>
        <v/>
      </c>
      <c r="F7" s="23" t="s">
        <v>126</v>
      </c>
      <c r="G7" s="64" t="str">
        <f>IFERROR(IF(AND(計算シート!$B$11&gt;=4970,計算シート!$B$11&lt;=12210),"○",""),"")</f>
        <v/>
      </c>
      <c r="H7" s="23" t="s">
        <v>125</v>
      </c>
      <c r="I7" s="64" t="str">
        <f t="shared" si="0"/>
        <v/>
      </c>
      <c r="J7" s="64">
        <f>ROUNDDOWN(0.8*計算シート!$B$11-0.3*((計算シート!$B$11-4970)/(12210-4970))*計算シート!$B$11,0)</f>
        <v>0</v>
      </c>
      <c r="K7" s="64" t="str">
        <f>IF(AND(計算シート!$E$3='計算式あて（当初）'!C7,E7="○",G7="○",I7="○"),"☆","")</f>
        <v/>
      </c>
      <c r="L7" s="66" t="str">
        <f>IF(AND(計算シート!$E$5='計算式あて（当初）'!C7,E7="○",G7="○",I7="○"),"◇","")</f>
        <v/>
      </c>
    </row>
    <row r="8" spans="1:25">
      <c r="A8" s="25"/>
      <c r="B8" s="25"/>
      <c r="C8" s="24">
        <v>43313</v>
      </c>
      <c r="D8" s="23" t="s">
        <v>68</v>
      </c>
      <c r="E8" s="64" t="str">
        <f>IFERROR(IF(D8=計算シート!$B$7,"○",""),"")</f>
        <v/>
      </c>
      <c r="F8" s="23" t="s">
        <v>127</v>
      </c>
      <c r="G8" s="64" t="str">
        <f>IFERROR(IF(AND(計算シート!$B$11&gt;12210,計算シート!$B$11&lt;=14990),"○",""),"")</f>
        <v/>
      </c>
      <c r="H8" s="23" t="s">
        <v>82</v>
      </c>
      <c r="I8" s="64" t="str">
        <f t="shared" si="0"/>
        <v/>
      </c>
      <c r="J8" s="64">
        <f>ROUNDDOWN(計算シート!$B$11*0.5,0)</f>
        <v>0</v>
      </c>
      <c r="K8" s="64" t="str">
        <f>IF(AND(計算シート!$E$3='計算式あて（当初）'!C8,E8="○",G8="○",I8="○"),"☆","")</f>
        <v/>
      </c>
      <c r="L8" s="66" t="str">
        <f>IF(AND(計算シート!$E$5='計算式あて（当初）'!C8,E8="○",G8="○",I8="○"),"◇","")</f>
        <v/>
      </c>
    </row>
    <row r="9" spans="1:25">
      <c r="A9" s="25"/>
      <c r="B9" s="25"/>
      <c r="C9" s="24">
        <v>43313</v>
      </c>
      <c r="D9" s="23" t="s">
        <v>68</v>
      </c>
      <c r="E9" s="64" t="str">
        <f>IFERROR(IF(D9=計算シート!$B$7,"○",""),"")</f>
        <v/>
      </c>
      <c r="F9" s="23" t="s">
        <v>128</v>
      </c>
      <c r="G9" s="64" t="str">
        <f>IFERROR(IF(計算シート!$B$11&gt;14990,"○",""),"")</f>
        <v/>
      </c>
      <c r="H9" s="23" t="s">
        <v>137</v>
      </c>
      <c r="I9" s="64" t="str">
        <f t="shared" si="0"/>
        <v/>
      </c>
      <c r="J9" s="64">
        <v>7495</v>
      </c>
      <c r="K9" s="64" t="str">
        <f>IF(AND(計算シート!$E$3='計算式あて（当初）'!C9,E9="○",G9="○",I9="○"),"☆","")</f>
        <v/>
      </c>
      <c r="L9" s="66" t="str">
        <f>IF(AND(計算シート!$E$5='計算式あて（当初）'!C9,E9="○",G9="○",I9="○"),"◇","")</f>
        <v/>
      </c>
    </row>
    <row r="10" spans="1:25">
      <c r="A10" s="25"/>
      <c r="B10" s="25"/>
      <c r="C10" s="24">
        <v>43313</v>
      </c>
      <c r="D10" s="23" t="s">
        <v>69</v>
      </c>
      <c r="E10" s="64" t="str">
        <f>IFERROR(IF(D10=計算シート!$B$7,"○",""),"")</f>
        <v/>
      </c>
      <c r="F10" s="23" t="s">
        <v>90</v>
      </c>
      <c r="G10" s="64" t="str">
        <f>IFERROR(IF(AND(計算シート!$B$11&gt;=2480,計算シート!$B$11&lt;4970),"○",""),"")</f>
        <v/>
      </c>
      <c r="H10" s="23" t="s">
        <v>80</v>
      </c>
      <c r="I10" s="64" t="str">
        <f t="shared" si="0"/>
        <v/>
      </c>
      <c r="J10" s="64">
        <f>ROUNDDOWN(計算シート!$B$11*0.8,0)</f>
        <v>0</v>
      </c>
      <c r="K10" s="64" t="str">
        <f>IF(AND(計算シート!$E$3='計算式あて（当初）'!C10,E10="○",G10="○",I10="○"),"☆","")</f>
        <v/>
      </c>
      <c r="L10" s="66" t="str">
        <f>IF(AND(計算シート!$E$5='計算式あて（当初）'!C10,E10="○",G10="○",I10="○"),"◇","")</f>
        <v/>
      </c>
    </row>
    <row r="11" spans="1:25">
      <c r="A11" s="25"/>
      <c r="B11" s="25"/>
      <c r="C11" s="24">
        <v>43313</v>
      </c>
      <c r="D11" s="23" t="s">
        <v>69</v>
      </c>
      <c r="E11" s="64" t="str">
        <f>IFERROR(IF(D11=計算シート!$B$7,"○",""),"")</f>
        <v/>
      </c>
      <c r="F11" s="23" t="s">
        <v>126</v>
      </c>
      <c r="G11" s="64" t="str">
        <f>IFERROR(IF(AND(計算シート!$B$11&gt;=4970,計算シート!$B$11&lt;=12210),"○",""),"")</f>
        <v/>
      </c>
      <c r="H11" s="23" t="s">
        <v>125</v>
      </c>
      <c r="I11" s="64" t="str">
        <f t="shared" si="0"/>
        <v/>
      </c>
      <c r="J11" s="64">
        <f>ROUNDDOWN(0.8*計算シート!$B$11-0.3*((計算シート!$B$11-4970)/(12210-4970))*計算シート!$B$11,0)</f>
        <v>0</v>
      </c>
      <c r="K11" s="64" t="str">
        <f>IF(AND(計算シート!$E$3='計算式あて（当初）'!C11,E11="○",G11="○",I11="○"),"☆","")</f>
        <v/>
      </c>
      <c r="L11" s="66" t="str">
        <f>IF(AND(計算シート!$E$5='計算式あて（当初）'!C11,E11="○",G11="○",I11="○"),"◇","")</f>
        <v/>
      </c>
    </row>
    <row r="12" spans="1:25">
      <c r="A12" s="25"/>
      <c r="B12" s="25"/>
      <c r="C12" s="24">
        <v>43313</v>
      </c>
      <c r="D12" s="23" t="s">
        <v>69</v>
      </c>
      <c r="E12" s="64" t="str">
        <f>IFERROR(IF(D12=計算シート!$B$7,"○",""),"")</f>
        <v/>
      </c>
      <c r="F12" s="23" t="s">
        <v>129</v>
      </c>
      <c r="G12" s="64" t="str">
        <f>IFERROR(IF(AND(計算シート!$B$11&gt;12210,計算シート!$B$11&lt;=16500),"○",""),"")</f>
        <v/>
      </c>
      <c r="H12" s="23" t="s">
        <v>82</v>
      </c>
      <c r="I12" s="64" t="str">
        <f t="shared" si="0"/>
        <v/>
      </c>
      <c r="J12" s="64">
        <f>ROUNDDOWN(計算シート!$B$11*0.5,0)</f>
        <v>0</v>
      </c>
      <c r="K12" s="64" t="str">
        <f>IF(AND(計算シート!$E$3='計算式あて（当初）'!C12,E12="○",G12="○",I12="○"),"☆","")</f>
        <v/>
      </c>
      <c r="L12" s="66" t="str">
        <f>IF(AND(計算シート!$E$5='計算式あて（当初）'!C12,E12="○",G12="○",I12="○"),"◇","")</f>
        <v/>
      </c>
    </row>
    <row r="13" spans="1:25">
      <c r="A13" s="25"/>
      <c r="B13" s="25"/>
      <c r="C13" s="24">
        <v>43313</v>
      </c>
      <c r="D13" s="23" t="s">
        <v>69</v>
      </c>
      <c r="E13" s="64" t="str">
        <f>IFERROR(IF(D13=計算シート!$B$7,"○",""),"")</f>
        <v/>
      </c>
      <c r="F13" s="23" t="s">
        <v>130</v>
      </c>
      <c r="G13" s="64" t="str">
        <f>IFERROR(IF(計算シート!$B$11&gt;16500,"○",""),"")</f>
        <v/>
      </c>
      <c r="H13" s="23" t="s">
        <v>138</v>
      </c>
      <c r="I13" s="64" t="str">
        <f t="shared" si="0"/>
        <v/>
      </c>
      <c r="J13" s="64">
        <v>8250</v>
      </c>
      <c r="K13" s="64" t="str">
        <f>IF(AND(計算シート!$E$3='計算式あて（当初）'!C13,E13="○",G13="○",I13="○"),"☆","")</f>
        <v/>
      </c>
      <c r="L13" s="66" t="str">
        <f>IF(AND(計算シート!$E$5='計算式あて（当初）'!C13,E13="○",G13="○",I13="○"),"◇","")</f>
        <v/>
      </c>
    </row>
    <row r="14" spans="1:25">
      <c r="A14" s="25"/>
      <c r="B14" s="25"/>
      <c r="C14" s="24">
        <v>43313</v>
      </c>
      <c r="D14" s="23" t="s">
        <v>70</v>
      </c>
      <c r="E14" s="64" t="str">
        <f>IFERROR(IF(D14=計算シート!$B$7,"○",""),"")</f>
        <v/>
      </c>
      <c r="F14" s="23" t="s">
        <v>90</v>
      </c>
      <c r="G14" s="64" t="str">
        <f>IFERROR(IF(AND(計算シート!$B$11&gt;=2480,計算シート!$B$11&lt;4970),"○",""),"")</f>
        <v/>
      </c>
      <c r="H14" s="23" t="s">
        <v>80</v>
      </c>
      <c r="I14" s="64" t="str">
        <f t="shared" si="0"/>
        <v/>
      </c>
      <c r="J14" s="64">
        <f>ROUNDDOWN(計算シート!$B$11*0.8,0)</f>
        <v>0</v>
      </c>
      <c r="K14" s="64" t="str">
        <f>IF(AND(計算シート!$E$3='計算式あて（当初）'!C14,E14="○",G14="○",I14="○"),"☆","")</f>
        <v/>
      </c>
      <c r="L14" s="66" t="str">
        <f>IF(AND(計算シート!$E$5='計算式あて（当初）'!C14,E14="○",G14="○",I14="○"),"◇","")</f>
        <v/>
      </c>
    </row>
    <row r="15" spans="1:25">
      <c r="A15" s="25"/>
      <c r="B15" s="25"/>
      <c r="C15" s="24">
        <v>43313</v>
      </c>
      <c r="D15" s="23" t="s">
        <v>70</v>
      </c>
      <c r="E15" s="64" t="str">
        <f>IFERROR(IF(D15=計算シート!$B$7,"○",""),"")</f>
        <v/>
      </c>
      <c r="F15" s="23" t="s">
        <v>131</v>
      </c>
      <c r="G15" s="64" t="str">
        <f>IFERROR(IF(AND(計算シート!$B$11&gt;=4970,計算シート!$B$11&lt;=10980),"○",""),"")</f>
        <v/>
      </c>
      <c r="H15" s="23" t="s">
        <v>132</v>
      </c>
      <c r="I15" s="64" t="str">
        <f>IFERROR(IF(J15&lt;J16,"○",""),"")</f>
        <v>○</v>
      </c>
      <c r="J15" s="64">
        <f>ROUNDDOWN(0.8*計算シート!$B$11-0.35*((計算シート!$B$11-4970)/(10980-4970))*計算シート!$B$11,0)</f>
        <v>0</v>
      </c>
      <c r="K15" s="64" t="str">
        <f>IF(AND(計算シート!$E$3='計算式あて（当初）'!C15,E15="○",G15="○",I15="○"),"☆","")</f>
        <v/>
      </c>
      <c r="L15" s="66" t="str">
        <f>IF(AND(計算シート!$E$5='計算式あて（当初）'!C15,E15="○",G15="○",I15="○"),"◇","")</f>
        <v/>
      </c>
    </row>
    <row r="16" spans="1:25">
      <c r="A16" s="25"/>
      <c r="B16" s="25"/>
      <c r="C16" s="24">
        <v>43313</v>
      </c>
      <c r="D16" s="23" t="s">
        <v>70</v>
      </c>
      <c r="E16" s="64" t="str">
        <f>IFERROR(IF(D16=計算シート!$B$7,"○",""),"")</f>
        <v/>
      </c>
      <c r="F16" s="23" t="s">
        <v>131</v>
      </c>
      <c r="G16" s="64" t="str">
        <f>IFERROR(IF(AND(計算シート!$B$11&gt;=4970,計算シート!$B$11&lt;=10980),"○",""),"")</f>
        <v/>
      </c>
      <c r="H16" s="23" t="s">
        <v>133</v>
      </c>
      <c r="I16" s="64" t="str">
        <f>IFERROR(IF(J16&lt;J15,"○",""),"")</f>
        <v/>
      </c>
      <c r="J16" s="64">
        <f>ROUNDDOWN(計算シート!$B$11*0.05+(10980*0.4),0)</f>
        <v>4392</v>
      </c>
      <c r="K16" s="64" t="str">
        <f>IF(AND(計算シート!$E$3='計算式あて（当初）'!C16,E16="○",G16="○",I16="○"),"☆","")</f>
        <v/>
      </c>
      <c r="L16" s="66" t="str">
        <f>IF(AND(計算シート!$E$5='計算式あて（当初）'!C16,E16="○",G16="○",I16="○"),"◇","")</f>
        <v/>
      </c>
    </row>
    <row r="17" spans="1:12">
      <c r="A17" s="25"/>
      <c r="B17" s="25"/>
      <c r="C17" s="24">
        <v>43313</v>
      </c>
      <c r="D17" s="70" t="s">
        <v>70</v>
      </c>
      <c r="E17" s="64" t="str">
        <f>IFERROR(IF(D17=計算シート!$B$7,"○",""),"")</f>
        <v/>
      </c>
      <c r="F17" s="23" t="s">
        <v>134</v>
      </c>
      <c r="G17" s="64" t="str">
        <f>IFERROR(IF(AND(計算シート!$B$11&gt;10980,計算シート!$B$11&lt;=15740),"○",""),"")</f>
        <v/>
      </c>
      <c r="H17" s="23" t="s">
        <v>84</v>
      </c>
      <c r="I17" s="64" t="str">
        <f t="shared" si="0"/>
        <v/>
      </c>
      <c r="J17" s="64">
        <f>ROUNDDOWN(計算シート!$B$11*0.45,0)</f>
        <v>0</v>
      </c>
      <c r="K17" s="64" t="str">
        <f>IF(AND(計算シート!$E$3='計算式あて（当初）'!C17,E17="○",G17="○",I17="○"),"☆","")</f>
        <v/>
      </c>
      <c r="L17" s="66" t="str">
        <f>IF(AND(計算シート!$E$5='計算式あて（当初）'!C17,E17="○",G17="○",I17="○"),"◇","")</f>
        <v/>
      </c>
    </row>
    <row r="18" spans="1:12">
      <c r="A18" s="27"/>
      <c r="B18" s="28"/>
      <c r="C18" s="24">
        <v>43313</v>
      </c>
      <c r="D18" s="23" t="s">
        <v>70</v>
      </c>
      <c r="E18" s="64" t="str">
        <f>IFERROR(IF(D18=計算シート!$B$7,"○",""),"")</f>
        <v/>
      </c>
      <c r="F18" s="23" t="s">
        <v>135</v>
      </c>
      <c r="G18" s="64" t="str">
        <f>IFERROR(IF(計算シート!$B$11&gt;15740,"○",""),"")</f>
        <v/>
      </c>
      <c r="H18" s="23" t="s">
        <v>139</v>
      </c>
      <c r="I18" s="64" t="str">
        <f t="shared" si="0"/>
        <v/>
      </c>
      <c r="J18" s="64">
        <v>7083</v>
      </c>
      <c r="K18" s="64" t="str">
        <f>IF(AND(計算シート!$E$3='計算式あて（当初）'!C18,E18="○",G18="○",I18="○"),"☆","")</f>
        <v/>
      </c>
      <c r="L18" s="66" t="str">
        <f>IF(AND(計算シート!$E$5='計算式あて（当初）'!C18,E18="○",G18="○",I18="○"),"◇","")</f>
        <v/>
      </c>
    </row>
    <row r="19" spans="1:12" ht="27">
      <c r="A19" s="25"/>
      <c r="B19" s="26" t="s">
        <v>415</v>
      </c>
      <c r="C19" s="24">
        <v>42948</v>
      </c>
      <c r="D19" s="23" t="s">
        <v>67</v>
      </c>
      <c r="E19" s="64" t="str">
        <f>IFERROR(IF(D19=計算シート!$B$7,"○",""),"")</f>
        <v/>
      </c>
      <c r="F19" s="23" t="s">
        <v>87</v>
      </c>
      <c r="G19" s="64" t="str">
        <f>IFERROR(IF(AND(計算シート!$B$11&gt;=2470,計算シート!$B$11&lt;4940),"○",""),"")</f>
        <v/>
      </c>
      <c r="H19" s="23" t="s">
        <v>80</v>
      </c>
      <c r="I19" s="64" t="str">
        <f>G19</f>
        <v/>
      </c>
      <c r="J19" s="64">
        <f>ROUNDDOWN(計算シート!$B$11*0.8,0)</f>
        <v>0</v>
      </c>
      <c r="K19" s="64" t="str">
        <f>IF(AND(計算シート!$E$3='計算式あて（当初）'!C19,E19="○",G19="○",I19="○"),"☆","")</f>
        <v/>
      </c>
      <c r="L19" s="66" t="str">
        <f>IF(AND(計算シート!$E$5='計算式あて（当初）'!C19,E19="○",G19="○",I19="○"),"◇","")</f>
        <v/>
      </c>
    </row>
    <row r="20" spans="1:12">
      <c r="A20" s="25"/>
      <c r="B20" s="25"/>
      <c r="C20" s="24">
        <v>42948</v>
      </c>
      <c r="D20" s="23" t="s">
        <v>67</v>
      </c>
      <c r="E20" s="64" t="str">
        <f>IFERROR(IF(D20=計算シート!$B$7,"○",""),"")</f>
        <v/>
      </c>
      <c r="F20" s="23" t="s">
        <v>524</v>
      </c>
      <c r="G20" s="64" t="str">
        <f>IFERROR(IF(AND(計算シート!$B$11&gt;=4940,計算シート!$B$11&lt;=12140),"○",""),"")</f>
        <v/>
      </c>
      <c r="H20" s="23" t="s">
        <v>312</v>
      </c>
      <c r="I20" s="64" t="str">
        <f t="shared" ref="I20:I31" si="1">G20</f>
        <v/>
      </c>
      <c r="J20" s="64">
        <f>ROUNDDOWN(0.8*計算シート!$B$11-0.3*((計算シート!$B$11-4940)/(12140-4940))*計算シート!$B$11,0)</f>
        <v>0</v>
      </c>
      <c r="K20" s="64" t="str">
        <f>IF(AND(計算シート!$E$3='計算式あて（当初）'!C20,E20="○",G20="○",I20="○"),"☆","")</f>
        <v/>
      </c>
      <c r="L20" s="66" t="str">
        <f>IF(AND(計算シート!$E$5='計算式あて（当初）'!C20,E20="○",G20="○",I20="○"),"◇","")</f>
        <v/>
      </c>
    </row>
    <row r="21" spans="1:12">
      <c r="A21" s="25"/>
      <c r="B21" s="25"/>
      <c r="C21" s="24">
        <v>42948</v>
      </c>
      <c r="D21" s="23" t="s">
        <v>67</v>
      </c>
      <c r="E21" s="64" t="str">
        <f>IFERROR(IF(D21=計算シート!$B$7,"○",""),"")</f>
        <v/>
      </c>
      <c r="F21" s="23" t="s">
        <v>525</v>
      </c>
      <c r="G21" s="64" t="str">
        <f>IFERROR(IF(AND(計算シート!$B$11&gt;12140,計算シート!$B$11&lt;=13420),"○",""),"")</f>
        <v/>
      </c>
      <c r="H21" s="23" t="s">
        <v>82</v>
      </c>
      <c r="I21" s="64" t="str">
        <f t="shared" si="1"/>
        <v/>
      </c>
      <c r="J21" s="64">
        <f>ROUNDDOWN(計算シート!$B$11*0.5,0)</f>
        <v>0</v>
      </c>
      <c r="K21" s="64" t="str">
        <f>IF(AND(計算シート!$E$3='計算式あて（当初）'!C21,E21="○",G21="○",I21="○"),"☆","")</f>
        <v/>
      </c>
      <c r="L21" s="66" t="str">
        <f>IF(AND(計算シート!$E$5='計算式あて（当初）'!C21,E21="○",G21="○",I21="○"),"◇","")</f>
        <v/>
      </c>
    </row>
    <row r="22" spans="1:12">
      <c r="A22" s="25"/>
      <c r="B22" s="25"/>
      <c r="C22" s="24">
        <v>42948</v>
      </c>
      <c r="D22" s="23" t="s">
        <v>67</v>
      </c>
      <c r="E22" s="64" t="str">
        <f>IFERROR(IF(D22=計算シート!$B$7,"○",""),"")</f>
        <v/>
      </c>
      <c r="F22" s="23" t="s">
        <v>143</v>
      </c>
      <c r="G22" s="64" t="str">
        <f>IFERROR(IF(計算シート!$B$11&gt;13420,"○",""),"")</f>
        <v/>
      </c>
      <c r="H22" s="23" t="s">
        <v>144</v>
      </c>
      <c r="I22" s="64" t="str">
        <f t="shared" si="1"/>
        <v/>
      </c>
      <c r="J22" s="64">
        <v>6710</v>
      </c>
      <c r="K22" s="64" t="str">
        <f>IF(AND(計算シート!$E$3='計算式あて（当初）'!C22,E22="○",G22="○",I22="○"),"☆","")</f>
        <v/>
      </c>
      <c r="L22" s="66" t="str">
        <f>IF(AND(計算シート!$E$5='計算式あて（当初）'!C22,E22="○",G22="○",I22="○"),"◇","")</f>
        <v/>
      </c>
    </row>
    <row r="23" spans="1:12">
      <c r="A23" s="25"/>
      <c r="B23" s="25"/>
      <c r="C23" s="24">
        <v>42948</v>
      </c>
      <c r="D23" s="23" t="s">
        <v>68</v>
      </c>
      <c r="E23" s="64" t="str">
        <f>IFERROR(IF(D23=計算シート!$B$7,"○",""),"")</f>
        <v/>
      </c>
      <c r="F23" s="23" t="s">
        <v>87</v>
      </c>
      <c r="G23" s="64" t="str">
        <f>IFERROR(IF(AND(計算シート!$B$11&gt;=2470,計算シート!$B$11&lt;4940),"○",""),"")</f>
        <v/>
      </c>
      <c r="H23" s="23" t="s">
        <v>80</v>
      </c>
      <c r="I23" s="64" t="str">
        <f t="shared" si="1"/>
        <v/>
      </c>
      <c r="J23" s="64">
        <f>ROUNDDOWN(計算シート!$B$11*0.8,0)</f>
        <v>0</v>
      </c>
      <c r="K23" s="64" t="str">
        <f>IF(AND(計算シート!$E$3='計算式あて（当初）'!C23,E23="○",G23="○",I23="○"),"☆","")</f>
        <v/>
      </c>
      <c r="L23" s="66" t="str">
        <f>IF(AND(計算シート!$E$5='計算式あて（当初）'!C23,E23="○",G23="○",I23="○"),"◇","")</f>
        <v/>
      </c>
    </row>
    <row r="24" spans="1:12">
      <c r="A24" s="25"/>
      <c r="B24" s="25"/>
      <c r="C24" s="24">
        <v>42948</v>
      </c>
      <c r="D24" s="23" t="s">
        <v>68</v>
      </c>
      <c r="E24" s="64" t="str">
        <f>IFERROR(IF(D24=計算シート!$B$7,"○",""),"")</f>
        <v/>
      </c>
      <c r="F24" s="23" t="s">
        <v>524</v>
      </c>
      <c r="G24" s="64" t="str">
        <f>IFERROR(IF(AND(計算シート!$B$11&gt;=4940,計算シート!$B$11&lt;=12140),"○",""),"")</f>
        <v/>
      </c>
      <c r="H24" s="23" t="s">
        <v>312</v>
      </c>
      <c r="I24" s="64" t="str">
        <f t="shared" si="1"/>
        <v/>
      </c>
      <c r="J24" s="64">
        <f>ROUNDDOWN(0.8*計算シート!$B$11-0.3*((計算シート!$B$11-4940)/(12140-4940))*計算シート!$B$11,0)</f>
        <v>0</v>
      </c>
      <c r="K24" s="64" t="str">
        <f>IF(AND(計算シート!$E$3='計算式あて（当初）'!C24,E24="○",G24="○",I24="○"),"☆","")</f>
        <v/>
      </c>
      <c r="L24" s="66" t="str">
        <f>IF(AND(計算シート!$E$5='計算式あて（当初）'!C24,E24="○",G24="○",I24="○"),"◇","")</f>
        <v/>
      </c>
    </row>
    <row r="25" spans="1:12">
      <c r="A25" s="25"/>
      <c r="B25" s="25"/>
      <c r="C25" s="24">
        <v>42948</v>
      </c>
      <c r="D25" s="23" t="s">
        <v>68</v>
      </c>
      <c r="E25" s="64" t="str">
        <f>IFERROR(IF(D25=計算シート!$B$7,"○",""),"")</f>
        <v/>
      </c>
      <c r="F25" s="23" t="s">
        <v>526</v>
      </c>
      <c r="G25" s="64" t="str">
        <f>IFERROR(IF(AND(計算シート!$B$11&gt;12140,計算シート!$B$11&lt;=14910),"○",""),"")</f>
        <v/>
      </c>
      <c r="H25" s="23" t="s">
        <v>82</v>
      </c>
      <c r="I25" s="64" t="str">
        <f t="shared" si="1"/>
        <v/>
      </c>
      <c r="J25" s="64">
        <f>ROUNDDOWN(計算シート!$B$11*0.5,0)</f>
        <v>0</v>
      </c>
      <c r="K25" s="64" t="str">
        <f>IF(AND(計算シート!$E$3='計算式あて（当初）'!C25,E25="○",G25="○",I25="○"),"☆","")</f>
        <v/>
      </c>
      <c r="L25" s="66" t="str">
        <f>IF(AND(計算シート!$E$5='計算式あて（当初）'!C25,E25="○",G25="○",I25="○"),"◇","")</f>
        <v/>
      </c>
    </row>
    <row r="26" spans="1:12">
      <c r="A26" s="25"/>
      <c r="B26" s="25"/>
      <c r="C26" s="24">
        <v>42948</v>
      </c>
      <c r="D26" s="23" t="s">
        <v>68</v>
      </c>
      <c r="E26" s="64" t="str">
        <f>IFERROR(IF(D26=計算シート!$B$7,"○",""),"")</f>
        <v/>
      </c>
      <c r="F26" s="23" t="s">
        <v>416</v>
      </c>
      <c r="G26" s="64" t="str">
        <f>IFERROR(IF(計算シート!$B$11&gt;14910,"○",""),"")</f>
        <v/>
      </c>
      <c r="H26" s="23" t="s">
        <v>417</v>
      </c>
      <c r="I26" s="64" t="str">
        <f t="shared" si="1"/>
        <v/>
      </c>
      <c r="J26" s="64">
        <v>7455</v>
      </c>
      <c r="K26" s="64" t="str">
        <f>IF(AND(計算シート!$E$3='計算式あて（当初）'!C26,E26="○",G26="○",I26="○"),"☆","")</f>
        <v/>
      </c>
      <c r="L26" s="66" t="str">
        <f>IF(AND(計算シート!$E$5='計算式あて（当初）'!C26,E26="○",G26="○",I26="○"),"◇","")</f>
        <v/>
      </c>
    </row>
    <row r="27" spans="1:12">
      <c r="A27" s="25"/>
      <c r="B27" s="25"/>
      <c r="C27" s="24">
        <v>42948</v>
      </c>
      <c r="D27" s="23" t="s">
        <v>69</v>
      </c>
      <c r="E27" s="64" t="str">
        <f>IFERROR(IF(D27=計算シート!$B$7,"○",""),"")</f>
        <v/>
      </c>
      <c r="F27" s="23" t="s">
        <v>87</v>
      </c>
      <c r="G27" s="64" t="str">
        <f>IFERROR(IF(AND(計算シート!$B$11&gt;=2470,計算シート!$B$11&lt;4940),"○",""),"")</f>
        <v/>
      </c>
      <c r="H27" s="23" t="s">
        <v>80</v>
      </c>
      <c r="I27" s="64" t="str">
        <f t="shared" si="1"/>
        <v/>
      </c>
      <c r="J27" s="64">
        <f>ROUNDDOWN(計算シート!$B$11*0.8,0)</f>
        <v>0</v>
      </c>
      <c r="K27" s="64" t="str">
        <f>IF(AND(計算シート!$E$3='計算式あて（当初）'!C27,E27="○",G27="○",I27="○"),"☆","")</f>
        <v/>
      </c>
      <c r="L27" s="66" t="str">
        <f>IF(AND(計算シート!$E$5='計算式あて（当初）'!C27,E27="○",G27="○",I27="○"),"◇","")</f>
        <v/>
      </c>
    </row>
    <row r="28" spans="1:12">
      <c r="A28" s="25"/>
      <c r="B28" s="25"/>
      <c r="C28" s="24">
        <v>42948</v>
      </c>
      <c r="D28" s="23" t="s">
        <v>69</v>
      </c>
      <c r="E28" s="64" t="str">
        <f>IFERROR(IF(D28=計算シート!$B$7,"○",""),"")</f>
        <v/>
      </c>
      <c r="F28" s="23" t="s">
        <v>524</v>
      </c>
      <c r="G28" s="64" t="str">
        <f>IFERROR(IF(AND(計算シート!$B$11&gt;=4940,計算シート!$B$11&lt;=12140),"○",""),"")</f>
        <v/>
      </c>
      <c r="H28" s="23" t="s">
        <v>312</v>
      </c>
      <c r="I28" s="64" t="str">
        <f t="shared" si="1"/>
        <v/>
      </c>
      <c r="J28" s="64">
        <f>ROUNDDOWN(0.8*計算シート!$B$11-0.3*((計算シート!$B$11-4940)/(12140-4940))*計算シート!$B$11,0)</f>
        <v>0</v>
      </c>
      <c r="K28" s="64" t="str">
        <f>IF(AND(計算シート!$E$3='計算式あて（当初）'!C28,E28="○",G28="○",I28="○"),"☆","")</f>
        <v/>
      </c>
      <c r="L28" s="66" t="str">
        <f>IF(AND(計算シート!$E$5='計算式あて（当初）'!C28,E28="○",G28="○",I28="○"),"◇","")</f>
        <v/>
      </c>
    </row>
    <row r="29" spans="1:12">
      <c r="A29" s="25"/>
      <c r="B29" s="25"/>
      <c r="C29" s="24">
        <v>42948</v>
      </c>
      <c r="D29" s="23" t="s">
        <v>69</v>
      </c>
      <c r="E29" s="64" t="str">
        <f>IFERROR(IF(D29=計算シート!$B$7,"○",""),"")</f>
        <v/>
      </c>
      <c r="F29" s="23" t="s">
        <v>527</v>
      </c>
      <c r="G29" s="64" t="str">
        <f>IFERROR(IF(AND(計算シート!$B$11&gt;12140,計算シート!$B$11&lt;=16410),"○",""),"")</f>
        <v/>
      </c>
      <c r="H29" s="23" t="s">
        <v>82</v>
      </c>
      <c r="I29" s="64" t="str">
        <f t="shared" si="1"/>
        <v/>
      </c>
      <c r="J29" s="64">
        <f>ROUNDDOWN(計算シート!$B$11*0.5,0)</f>
        <v>0</v>
      </c>
      <c r="K29" s="64" t="str">
        <f>IF(AND(計算シート!$E$3='計算式あて（当初）'!C29,E29="○",G29="○",I29="○"),"☆","")</f>
        <v/>
      </c>
      <c r="L29" s="66" t="str">
        <f>IF(AND(計算シート!$E$5='計算式あて（当初）'!C29,E29="○",G29="○",I29="○"),"◇","")</f>
        <v/>
      </c>
    </row>
    <row r="30" spans="1:12">
      <c r="A30" s="25"/>
      <c r="B30" s="25"/>
      <c r="C30" s="24">
        <v>42948</v>
      </c>
      <c r="D30" s="23" t="s">
        <v>69</v>
      </c>
      <c r="E30" s="64" t="str">
        <f>IFERROR(IF(D30=計算シート!$B$7,"○",""),"")</f>
        <v/>
      </c>
      <c r="F30" s="23" t="s">
        <v>418</v>
      </c>
      <c r="G30" s="64" t="str">
        <f>IFERROR(IF(計算シート!$B$11&gt;16410,"○",""),"")</f>
        <v/>
      </c>
      <c r="H30" s="23" t="s">
        <v>419</v>
      </c>
      <c r="I30" s="64" t="str">
        <f t="shared" si="1"/>
        <v/>
      </c>
      <c r="J30" s="64">
        <v>8205</v>
      </c>
      <c r="K30" s="64" t="str">
        <f>IF(AND(計算シート!$E$3='計算式あて（当初）'!C30,E30="○",G30="○",I30="○"),"☆","")</f>
        <v/>
      </c>
      <c r="L30" s="66" t="str">
        <f>IF(AND(計算シート!$E$5='計算式あて（当初）'!C30,E30="○",G30="○",I30="○"),"◇","")</f>
        <v/>
      </c>
    </row>
    <row r="31" spans="1:12">
      <c r="A31" s="25"/>
      <c r="B31" s="25"/>
      <c r="C31" s="24">
        <v>42948</v>
      </c>
      <c r="D31" s="23" t="s">
        <v>70</v>
      </c>
      <c r="E31" s="64" t="str">
        <f>IFERROR(IF(D31=計算シート!$B$7,"○",""),"")</f>
        <v/>
      </c>
      <c r="F31" s="23" t="s">
        <v>87</v>
      </c>
      <c r="G31" s="64" t="str">
        <f>IFERROR(IF(AND(計算シート!$B$11&gt;=2470,計算シート!$B$11&lt;4940),"○",""),"")</f>
        <v/>
      </c>
      <c r="H31" s="23" t="s">
        <v>80</v>
      </c>
      <c r="I31" s="64" t="str">
        <f t="shared" si="1"/>
        <v/>
      </c>
      <c r="J31" s="64">
        <f>ROUNDDOWN(計算シート!$B$11*0.8,0)</f>
        <v>0</v>
      </c>
      <c r="K31" s="64" t="str">
        <f>IF(AND(計算シート!$E$3='計算式あて（当初）'!C31,E31="○",G31="○",I31="○"),"☆","")</f>
        <v/>
      </c>
      <c r="L31" s="66" t="str">
        <f>IF(AND(計算シート!$E$5='計算式あて（当初）'!C31,E31="○",G31="○",I31="○"),"◇","")</f>
        <v/>
      </c>
    </row>
    <row r="32" spans="1:12">
      <c r="A32" s="25"/>
      <c r="B32" s="25"/>
      <c r="C32" s="24">
        <v>42948</v>
      </c>
      <c r="D32" s="23" t="s">
        <v>70</v>
      </c>
      <c r="E32" s="64" t="str">
        <f>IFERROR(IF(D32=計算シート!$B$7,"○",""),"")</f>
        <v/>
      </c>
      <c r="F32" s="23" t="s">
        <v>528</v>
      </c>
      <c r="G32" s="64" t="str">
        <f>IFERROR(IF(AND(計算シート!$B$11&gt;=4940,計算シート!$B$11&lt;=10920),"○",""),"")</f>
        <v/>
      </c>
      <c r="H32" s="23" t="s">
        <v>313</v>
      </c>
      <c r="I32" s="64" t="str">
        <f>IFERROR(IF(J32&lt;J33,"○",""),"")</f>
        <v>○</v>
      </c>
      <c r="J32" s="64">
        <f>ROUNDDOWN(0.8*計算シート!$B$11-0.35*((計算シート!$B$11-4940)/(10920-4940))*計算シート!$B$11,0)</f>
        <v>0</v>
      </c>
      <c r="K32" s="64" t="str">
        <f>IF(AND(計算シート!$E$3='計算式あて（当初）'!C32,E32="○",G32="○",I32="○"),"☆","")</f>
        <v/>
      </c>
      <c r="L32" s="66" t="str">
        <f>IF(AND(計算シート!$E$5='計算式あて（当初）'!C32,E32="○",G32="○",I32="○"),"◇","")</f>
        <v/>
      </c>
    </row>
    <row r="33" spans="1:12">
      <c r="A33" s="25"/>
      <c r="B33" s="25"/>
      <c r="C33" s="24">
        <v>42948</v>
      </c>
      <c r="D33" s="23" t="s">
        <v>70</v>
      </c>
      <c r="E33" s="64" t="str">
        <f>IFERROR(IF(D33=計算シート!$B$7,"○",""),"")</f>
        <v/>
      </c>
      <c r="F33" s="23" t="s">
        <v>528</v>
      </c>
      <c r="G33" s="64" t="str">
        <f>IFERROR(IF(AND(計算シート!$B$11&gt;=4940,計算シート!$B$11&lt;=10920),"○",""),"")</f>
        <v/>
      </c>
      <c r="H33" s="23" t="s">
        <v>314</v>
      </c>
      <c r="I33" s="64" t="str">
        <f>IFERROR(IF(J33&lt;J32,"○",""),"")</f>
        <v/>
      </c>
      <c r="J33" s="64">
        <f>ROUNDDOWN(計算シート!$B$11*0.05+(10920*0.4),0)</f>
        <v>4368</v>
      </c>
      <c r="K33" s="64" t="str">
        <f>IF(AND(計算シート!$E$3='計算式あて（当初）'!C33,E33="○",G33="○",I33="○"),"☆","")</f>
        <v/>
      </c>
      <c r="L33" s="66" t="str">
        <f>IF(AND(計算シート!$E$5='計算式あて（当初）'!C33,E33="○",G33="○",I33="○"),"◇","")</f>
        <v/>
      </c>
    </row>
    <row r="34" spans="1:12">
      <c r="A34" s="25"/>
      <c r="B34" s="25"/>
      <c r="C34" s="24">
        <v>42948</v>
      </c>
      <c r="D34" s="23" t="s">
        <v>70</v>
      </c>
      <c r="E34" s="64" t="str">
        <f>IFERROR(IF(D34=計算シート!$B$7,"○",""),"")</f>
        <v/>
      </c>
      <c r="F34" s="23" t="s">
        <v>420</v>
      </c>
      <c r="G34" s="64" t="str">
        <f>IFERROR(IF(AND(計算シート!$B$11&gt;10920,計算シート!$B$11&lt;=15650),"○",""),"")</f>
        <v/>
      </c>
      <c r="H34" s="23" t="s">
        <v>84</v>
      </c>
      <c r="I34" s="64" t="str">
        <f t="shared" ref="I34:I35" si="2">G34</f>
        <v/>
      </c>
      <c r="J34" s="64">
        <f>ROUNDDOWN(計算シート!$B$11*0.45,0)</f>
        <v>0</v>
      </c>
      <c r="K34" s="64" t="str">
        <f>IF(AND(計算シート!$E$3='計算式あて（当初）'!C34,E34="○",G34="○",I34="○"),"☆","")</f>
        <v/>
      </c>
      <c r="L34" s="66" t="str">
        <f>IF(AND(計算シート!$E$5='計算式あて（当初）'!C34,E34="○",G34="○",I34="○"),"◇","")</f>
        <v/>
      </c>
    </row>
    <row r="35" spans="1:12">
      <c r="A35" s="27"/>
      <c r="B35" s="28"/>
      <c r="C35" s="24">
        <v>42948</v>
      </c>
      <c r="D35" s="23" t="s">
        <v>70</v>
      </c>
      <c r="E35" s="64" t="str">
        <f>IFERROR(IF(D35=計算シート!$B$7,"○",""),"")</f>
        <v/>
      </c>
      <c r="F35" s="23" t="s">
        <v>421</v>
      </c>
      <c r="G35" s="64" t="str">
        <f>IFERROR(IF(計算シート!$B$11&gt;15650,"○",""),"")</f>
        <v/>
      </c>
      <c r="H35" s="23" t="s">
        <v>422</v>
      </c>
      <c r="I35" s="64" t="str">
        <f t="shared" si="2"/>
        <v/>
      </c>
      <c r="J35" s="64">
        <v>7042</v>
      </c>
      <c r="K35" s="64" t="str">
        <f>IF(AND(計算シート!$E$3='計算式あて（当初）'!C35,E35="○",G35="○",I35="○"),"☆","")</f>
        <v/>
      </c>
      <c r="L35" s="66" t="str">
        <f>IF(AND(計算シート!$E$5='計算式あて（当初）'!C35,E35="○",G35="○",I35="○"),"◇","")</f>
        <v/>
      </c>
    </row>
    <row r="36" spans="1:12" ht="27">
      <c r="A36" s="25"/>
      <c r="B36" s="26" t="s">
        <v>423</v>
      </c>
      <c r="C36" s="24">
        <v>42583</v>
      </c>
      <c r="D36" s="23" t="s">
        <v>67</v>
      </c>
      <c r="E36" s="64" t="str">
        <f>IFERROR(IF(D36=計算シート!$B$7,"○",""),"")</f>
        <v/>
      </c>
      <c r="F36" s="23" t="s">
        <v>315</v>
      </c>
      <c r="G36" s="64" t="str">
        <f>IFERROR(IF(AND(計算シート!$B$11&gt;=2290,計算シート!$B$11&lt;4580),"○",""),"")</f>
        <v/>
      </c>
      <c r="H36" s="23" t="s">
        <v>80</v>
      </c>
      <c r="I36" s="64" t="str">
        <f>G36</f>
        <v/>
      </c>
      <c r="J36" s="64">
        <f>ROUNDDOWN(計算シート!$B$11*0.8,0)</f>
        <v>0</v>
      </c>
      <c r="K36" s="64" t="str">
        <f>IF(AND(計算シート!$E$3='計算式あて（当初）'!C36,E36="○",G36="○",I36="○"),"☆","")</f>
        <v/>
      </c>
      <c r="L36" s="66" t="str">
        <f>IF(AND(計算シート!$E$5='計算式あて（当初）'!C36,E36="○",G36="○",I36="○"),"◇","")</f>
        <v/>
      </c>
    </row>
    <row r="37" spans="1:12">
      <c r="A37" s="25"/>
      <c r="B37" s="25"/>
      <c r="C37" s="24">
        <v>42583</v>
      </c>
      <c r="D37" s="23" t="s">
        <v>67</v>
      </c>
      <c r="E37" s="64" t="str">
        <f>IFERROR(IF(D37=計算シート!$B$7,"○",""),"")</f>
        <v/>
      </c>
      <c r="F37" s="23" t="s">
        <v>529</v>
      </c>
      <c r="G37" s="64" t="str">
        <f>IFERROR(IF(AND(計算シート!$B$11&gt;=4580,計算シート!$B$11&lt;=11610),"○",""),"")</f>
        <v/>
      </c>
      <c r="H37" s="23" t="s">
        <v>316</v>
      </c>
      <c r="I37" s="64" t="str">
        <f t="shared" ref="I37:I48" si="3">G37</f>
        <v/>
      </c>
      <c r="J37" s="64">
        <f>ROUNDDOWN(0.8*計算シート!$B$11-0.3*((計算シート!$B$11-4580)/(11610-4580))*計算シート!$B$11,0)</f>
        <v>0</v>
      </c>
      <c r="K37" s="64" t="str">
        <f>IF(AND(計算シート!$E$3='計算式あて（当初）'!C37,E37="○",G37="○",I37="○"),"☆","")</f>
        <v/>
      </c>
      <c r="L37" s="66" t="str">
        <f>IF(AND(計算シート!$E$5='計算式あて（当初）'!C37,E37="○",G37="○",I37="○"),"◇","")</f>
        <v/>
      </c>
    </row>
    <row r="38" spans="1:12">
      <c r="A38" s="25"/>
      <c r="B38" s="25"/>
      <c r="C38" s="24">
        <v>42583</v>
      </c>
      <c r="D38" s="23" t="s">
        <v>67</v>
      </c>
      <c r="E38" s="64" t="str">
        <f>IFERROR(IF(D38=計算シート!$B$7,"○",""),"")</f>
        <v/>
      </c>
      <c r="F38" s="23" t="s">
        <v>530</v>
      </c>
      <c r="G38" s="64" t="str">
        <f>IFERROR(IF(AND(計算シート!$B$11&gt;11610,計算シート!$B$11&lt;=12740),"○",""),"")</f>
        <v/>
      </c>
      <c r="H38" s="23" t="s">
        <v>82</v>
      </c>
      <c r="I38" s="64" t="str">
        <f t="shared" si="3"/>
        <v/>
      </c>
      <c r="J38" s="64">
        <f>ROUNDDOWN(計算シート!$B$11*0.5,0)</f>
        <v>0</v>
      </c>
      <c r="K38" s="64" t="str">
        <f>IF(AND(計算シート!$E$3='計算式あて（当初）'!C38,E38="○",G38="○",I38="○"),"☆","")</f>
        <v/>
      </c>
      <c r="L38" s="66" t="str">
        <f>IF(AND(計算シート!$E$5='計算式あて（当初）'!C38,E38="○",G38="○",I38="○"),"◇","")</f>
        <v/>
      </c>
    </row>
    <row r="39" spans="1:12">
      <c r="A39" s="25"/>
      <c r="B39" s="25"/>
      <c r="C39" s="24">
        <v>42583</v>
      </c>
      <c r="D39" s="23" t="s">
        <v>67</v>
      </c>
      <c r="E39" s="64" t="str">
        <f>IFERROR(IF(D39=計算シート!$B$7,"○",""),"")</f>
        <v/>
      </c>
      <c r="F39" s="23" t="s">
        <v>252</v>
      </c>
      <c r="G39" s="64" t="str">
        <f>IFERROR(IF(計算シート!$B$11&gt;12740,"○",""),"")</f>
        <v/>
      </c>
      <c r="H39" s="23" t="s">
        <v>255</v>
      </c>
      <c r="I39" s="64" t="str">
        <f t="shared" si="3"/>
        <v/>
      </c>
      <c r="J39" s="64">
        <v>6370</v>
      </c>
      <c r="K39" s="64" t="str">
        <f>IF(AND(計算シート!$E$3='計算式あて（当初）'!C39,E39="○",G39="○",I39="○"),"☆","")</f>
        <v/>
      </c>
      <c r="L39" s="66" t="str">
        <f>IF(AND(計算シート!$E$5='計算式あて（当初）'!C39,E39="○",G39="○",I39="○"),"◇","")</f>
        <v/>
      </c>
    </row>
    <row r="40" spans="1:12">
      <c r="A40" s="25"/>
      <c r="B40" s="25"/>
      <c r="C40" s="24">
        <v>42583</v>
      </c>
      <c r="D40" s="23" t="s">
        <v>68</v>
      </c>
      <c r="E40" s="64" t="str">
        <f>IFERROR(IF(D40=計算シート!$B$7,"○",""),"")</f>
        <v/>
      </c>
      <c r="F40" s="23" t="s">
        <v>315</v>
      </c>
      <c r="G40" s="64" t="str">
        <f>IFERROR(IF(AND(計算シート!$B$11&gt;=2290,計算シート!$B$11&lt;4580),"○",""),"")</f>
        <v/>
      </c>
      <c r="H40" s="23" t="s">
        <v>80</v>
      </c>
      <c r="I40" s="64" t="str">
        <f t="shared" si="3"/>
        <v/>
      </c>
      <c r="J40" s="64">
        <f>ROUNDDOWN(計算シート!$B$11*0.8,0)</f>
        <v>0</v>
      </c>
      <c r="K40" s="64" t="str">
        <f>IF(AND(計算シート!$E$3='計算式あて（当初）'!C40,E40="○",G40="○",I40="○"),"☆","")</f>
        <v/>
      </c>
      <c r="L40" s="66" t="str">
        <f>IF(AND(計算シート!$E$5='計算式あて（当初）'!C40,E40="○",G40="○",I40="○"),"◇","")</f>
        <v/>
      </c>
    </row>
    <row r="41" spans="1:12">
      <c r="A41" s="25"/>
      <c r="B41" s="25"/>
      <c r="C41" s="24">
        <v>42583</v>
      </c>
      <c r="D41" s="23" t="s">
        <v>68</v>
      </c>
      <c r="E41" s="64" t="str">
        <f>IFERROR(IF(D41=計算シート!$B$7,"○",""),"")</f>
        <v/>
      </c>
      <c r="F41" s="23" t="s">
        <v>529</v>
      </c>
      <c r="G41" s="64" t="str">
        <f>IFERROR(IF(AND(計算シート!$B$11&gt;=4580,計算シート!$B$11&lt;=11610),"○",""),"")</f>
        <v/>
      </c>
      <c r="H41" s="23" t="s">
        <v>316</v>
      </c>
      <c r="I41" s="64" t="str">
        <f t="shared" si="3"/>
        <v/>
      </c>
      <c r="J41" s="64">
        <f>ROUNDDOWN(0.8*計算シート!$B$11-0.3*((計算シート!$B$11-4580)/(11610-4580))*計算シート!$B$11,0)</f>
        <v>0</v>
      </c>
      <c r="K41" s="64" t="str">
        <f>IF(AND(計算シート!$E$3='計算式あて（当初）'!C41,E41="○",G41="○",I41="○"),"☆","")</f>
        <v/>
      </c>
      <c r="L41" s="66" t="str">
        <f>IF(AND(計算シート!$E$5='計算式あて（当初）'!C41,E41="○",G41="○",I41="○"),"◇","")</f>
        <v/>
      </c>
    </row>
    <row r="42" spans="1:12">
      <c r="A42" s="25"/>
      <c r="B42" s="25"/>
      <c r="C42" s="24">
        <v>42583</v>
      </c>
      <c r="D42" s="23" t="s">
        <v>68</v>
      </c>
      <c r="E42" s="64" t="str">
        <f>IFERROR(IF(D42=計算シート!$B$7,"○",""),"")</f>
        <v/>
      </c>
      <c r="F42" s="23" t="s">
        <v>531</v>
      </c>
      <c r="G42" s="64" t="str">
        <f>IFERROR(IF(AND(計算シート!$B$11&gt;11610,計算シート!$B$11&lt;=14150),"○",""),"")</f>
        <v/>
      </c>
      <c r="H42" s="23" t="s">
        <v>82</v>
      </c>
      <c r="I42" s="64" t="str">
        <f t="shared" si="3"/>
        <v/>
      </c>
      <c r="J42" s="64">
        <f>ROUNDDOWN(計算シート!$B$11*0.5,0)</f>
        <v>0</v>
      </c>
      <c r="K42" s="64" t="str">
        <f>IF(AND(計算シート!$E$3='計算式あて（当初）'!C42,E42="○",G42="○",I42="○"),"☆","")</f>
        <v/>
      </c>
      <c r="L42" s="66" t="str">
        <f>IF(AND(計算シート!$E$5='計算式あて（当初）'!C42,E42="○",G42="○",I42="○"),"◇","")</f>
        <v/>
      </c>
    </row>
    <row r="43" spans="1:12">
      <c r="A43" s="25"/>
      <c r="B43" s="25"/>
      <c r="C43" s="24">
        <v>42583</v>
      </c>
      <c r="D43" s="23" t="s">
        <v>68</v>
      </c>
      <c r="E43" s="64" t="str">
        <f>IFERROR(IF(D43=計算シート!$B$7,"○",""),"")</f>
        <v/>
      </c>
      <c r="F43" s="23" t="s">
        <v>317</v>
      </c>
      <c r="G43" s="64" t="str">
        <f>IFERROR(IF(計算シート!$B$11&gt;14150,"○",""),"")</f>
        <v/>
      </c>
      <c r="H43" s="23" t="s">
        <v>320</v>
      </c>
      <c r="I43" s="64" t="str">
        <f t="shared" si="3"/>
        <v/>
      </c>
      <c r="J43" s="64">
        <v>7075</v>
      </c>
      <c r="K43" s="64" t="str">
        <f>IF(AND(計算シート!$E$3='計算式あて（当初）'!C43,E43="○",G43="○",I43="○"),"☆","")</f>
        <v/>
      </c>
      <c r="L43" s="66" t="str">
        <f>IF(AND(計算シート!$E$5='計算式あて（当初）'!C43,E43="○",G43="○",I43="○"),"◇","")</f>
        <v/>
      </c>
    </row>
    <row r="44" spans="1:12">
      <c r="A44" s="25"/>
      <c r="B44" s="25"/>
      <c r="C44" s="24">
        <v>42583</v>
      </c>
      <c r="D44" s="23" t="s">
        <v>69</v>
      </c>
      <c r="E44" s="64" t="str">
        <f>IFERROR(IF(D44=計算シート!$B$7,"○",""),"")</f>
        <v/>
      </c>
      <c r="F44" s="23" t="s">
        <v>315</v>
      </c>
      <c r="G44" s="64" t="str">
        <f>IFERROR(IF(AND(計算シート!$B$11&gt;=2290,計算シート!$B$11&lt;4580),"○",""),"")</f>
        <v/>
      </c>
      <c r="H44" s="23" t="s">
        <v>80</v>
      </c>
      <c r="I44" s="64" t="str">
        <f t="shared" si="3"/>
        <v/>
      </c>
      <c r="J44" s="64">
        <f>ROUNDDOWN(計算シート!$B$11*0.8,0)</f>
        <v>0</v>
      </c>
      <c r="K44" s="64" t="str">
        <f>IF(AND(計算シート!$E$3='計算式あて（当初）'!C44,E44="○",G44="○",I44="○"),"☆","")</f>
        <v/>
      </c>
      <c r="L44" s="66" t="str">
        <f>IF(AND(計算シート!$E$5='計算式あて（当初）'!C44,E44="○",G44="○",I44="○"),"◇","")</f>
        <v/>
      </c>
    </row>
    <row r="45" spans="1:12">
      <c r="A45" s="25"/>
      <c r="B45" s="25"/>
      <c r="C45" s="24">
        <v>42583</v>
      </c>
      <c r="D45" s="23" t="s">
        <v>69</v>
      </c>
      <c r="E45" s="64" t="str">
        <f>IFERROR(IF(D45=計算シート!$B$7,"○",""),"")</f>
        <v/>
      </c>
      <c r="F45" s="23" t="s">
        <v>529</v>
      </c>
      <c r="G45" s="64" t="str">
        <f>IFERROR(IF(AND(計算シート!$B$11&gt;=4580,計算シート!$B$11&lt;=11610),"○",""),"")</f>
        <v/>
      </c>
      <c r="H45" s="23" t="s">
        <v>316</v>
      </c>
      <c r="I45" s="64" t="str">
        <f t="shared" si="3"/>
        <v/>
      </c>
      <c r="J45" s="64">
        <f>ROUNDDOWN(0.8*計算シート!$B$11-0.3*((計算シート!$B$11-4580)/(11610-4580))*計算シート!$B$11,0)</f>
        <v>0</v>
      </c>
      <c r="K45" s="64" t="str">
        <f>IF(AND(計算シート!$E$3='計算式あて（当初）'!C45,E45="○",G45="○",I45="○"),"☆","")</f>
        <v/>
      </c>
      <c r="L45" s="66" t="str">
        <f>IF(AND(計算シート!$E$5='計算式あて（当初）'!C45,E45="○",G45="○",I45="○"),"◇","")</f>
        <v/>
      </c>
    </row>
    <row r="46" spans="1:12">
      <c r="A46" s="25"/>
      <c r="B46" s="25"/>
      <c r="C46" s="24">
        <v>42583</v>
      </c>
      <c r="D46" s="23" t="s">
        <v>69</v>
      </c>
      <c r="E46" s="64" t="str">
        <f>IFERROR(IF(D46=計算シート!$B$7,"○",""),"")</f>
        <v/>
      </c>
      <c r="F46" s="23" t="s">
        <v>532</v>
      </c>
      <c r="G46" s="64" t="str">
        <f>IFERROR(IF(AND(計算シート!$B$11&gt;11610,計算シート!$B$11&lt;=15550),"○",""),"")</f>
        <v/>
      </c>
      <c r="H46" s="23" t="s">
        <v>82</v>
      </c>
      <c r="I46" s="64" t="str">
        <f t="shared" si="3"/>
        <v/>
      </c>
      <c r="J46" s="64">
        <f>ROUNDDOWN(計算シート!$B$11*0.5,0)</f>
        <v>0</v>
      </c>
      <c r="K46" s="64" t="str">
        <f>IF(AND(計算シート!$E$3='計算式あて（当初）'!C46,E46="○",G46="○",I46="○"),"☆","")</f>
        <v/>
      </c>
      <c r="L46" s="66" t="str">
        <f>IF(AND(計算シート!$E$5='計算式あて（当初）'!C46,E46="○",G46="○",I46="○"),"◇","")</f>
        <v/>
      </c>
    </row>
    <row r="47" spans="1:12">
      <c r="A47" s="25"/>
      <c r="B47" s="25"/>
      <c r="C47" s="24">
        <v>42583</v>
      </c>
      <c r="D47" s="23" t="s">
        <v>69</v>
      </c>
      <c r="E47" s="64" t="str">
        <f>IFERROR(IF(D47=計算シート!$B$7,"○",""),"")</f>
        <v/>
      </c>
      <c r="F47" s="23" t="s">
        <v>318</v>
      </c>
      <c r="G47" s="64" t="str">
        <f>IFERROR(IF(計算シート!$B$11&gt;15550,"○",""),"")</f>
        <v/>
      </c>
      <c r="H47" s="23" t="s">
        <v>321</v>
      </c>
      <c r="I47" s="64" t="str">
        <f t="shared" si="3"/>
        <v/>
      </c>
      <c r="J47" s="64">
        <v>7775</v>
      </c>
      <c r="K47" s="64" t="str">
        <f>IF(AND(計算シート!$E$3='計算式あて（当初）'!C47,E47="○",G47="○",I47="○"),"☆","")</f>
        <v/>
      </c>
      <c r="L47" s="66" t="str">
        <f>IF(AND(計算シート!$E$5='計算式あて（当初）'!C47,E47="○",G47="○",I47="○"),"◇","")</f>
        <v/>
      </c>
    </row>
    <row r="48" spans="1:12">
      <c r="A48" s="25"/>
      <c r="B48" s="25"/>
      <c r="C48" s="24">
        <v>42583</v>
      </c>
      <c r="D48" s="23" t="s">
        <v>70</v>
      </c>
      <c r="E48" s="64" t="str">
        <f>IFERROR(IF(D48=計算シート!$B$7,"○",""),"")</f>
        <v/>
      </c>
      <c r="F48" s="23" t="s">
        <v>315</v>
      </c>
      <c r="G48" s="64" t="str">
        <f>IFERROR(IF(AND(計算シート!$B$11&gt;=2290,計算シート!$B$11&lt;4580),"○",""),"")</f>
        <v/>
      </c>
      <c r="H48" s="23" t="s">
        <v>80</v>
      </c>
      <c r="I48" s="64" t="str">
        <f t="shared" si="3"/>
        <v/>
      </c>
      <c r="J48" s="64">
        <f>ROUNDDOWN(計算シート!$B$11*0.8,0)</f>
        <v>0</v>
      </c>
      <c r="K48" s="64" t="str">
        <f>IF(AND(計算シート!$E$3='計算式あて（当初）'!C48,E48="○",G48="○",I48="○"),"☆","")</f>
        <v/>
      </c>
      <c r="L48" s="66" t="str">
        <f>IF(AND(計算シート!$E$5='計算式あて（当初）'!C48,E48="○",G48="○",I48="○"),"◇","")</f>
        <v/>
      </c>
    </row>
    <row r="49" spans="1:12">
      <c r="A49" s="25"/>
      <c r="B49" s="25"/>
      <c r="C49" s="24">
        <v>42583</v>
      </c>
      <c r="D49" s="23" t="s">
        <v>70</v>
      </c>
      <c r="E49" s="64" t="str">
        <f>IFERROR(IF(D49=計算シート!$B$7,"○",""),"")</f>
        <v/>
      </c>
      <c r="F49" s="23" t="s">
        <v>533</v>
      </c>
      <c r="G49" s="64" t="str">
        <f>IFERROR(IF(AND(計算シート!$B$11&gt;=4580,計算シート!$B$11&lt;=10460),"○",""),"")</f>
        <v/>
      </c>
      <c r="H49" s="23" t="s">
        <v>319</v>
      </c>
      <c r="I49" s="64" t="str">
        <f>IFERROR(IF(J49&lt;J50,"○",""),"")</f>
        <v>○</v>
      </c>
      <c r="J49" s="64">
        <f>ROUNDDOWN(0.8*計算シート!$B$11-0.35*((計算シート!$B$11-4580)/(10460-4580))*計算シート!$B$11,0)</f>
        <v>0</v>
      </c>
      <c r="K49" s="64" t="str">
        <f>IF(AND(計算シート!$E$3='計算式あて（当初）'!C49,E49="○",G49="○",I49="○"),"☆","")</f>
        <v/>
      </c>
      <c r="L49" s="66" t="str">
        <f>IF(AND(計算シート!$E$5='計算式あて（当初）'!C49,E49="○",G49="○",I49="○"),"◇","")</f>
        <v/>
      </c>
    </row>
    <row r="50" spans="1:12">
      <c r="A50" s="25"/>
      <c r="B50" s="25"/>
      <c r="C50" s="24">
        <v>42583</v>
      </c>
      <c r="D50" s="23" t="s">
        <v>70</v>
      </c>
      <c r="E50" s="64" t="str">
        <f>IFERROR(IF(D50=計算シート!$B$7,"○",""),"")</f>
        <v/>
      </c>
      <c r="F50" s="23" t="s">
        <v>534</v>
      </c>
      <c r="G50" s="64" t="str">
        <f>IFERROR(IF(AND(計算シート!$B$11&gt;=4580,計算シート!$B$11&lt;=10460),"○",""),"")</f>
        <v/>
      </c>
      <c r="H50" s="23" t="s">
        <v>424</v>
      </c>
      <c r="I50" s="64" t="str">
        <f>IFERROR(IF(J50&lt;J49,"○",""),"")</f>
        <v/>
      </c>
      <c r="J50" s="64">
        <f>ROUNDDOWN(計算シート!$B$11*0.05+(10460*0.4),0)</f>
        <v>4184</v>
      </c>
      <c r="K50" s="64" t="str">
        <f>IF(AND(計算シート!$E$3='計算式あて（当初）'!C50,E50="○",G50="○",I50="○"),"☆","")</f>
        <v/>
      </c>
      <c r="L50" s="66" t="str">
        <f>IF(AND(計算シート!$E$5='計算式あて（当初）'!C50,E50="○",G50="○",I50="○"),"◇","")</f>
        <v/>
      </c>
    </row>
    <row r="51" spans="1:12">
      <c r="A51" s="25"/>
      <c r="B51" s="25"/>
      <c r="C51" s="24">
        <v>42583</v>
      </c>
      <c r="D51" s="23" t="s">
        <v>70</v>
      </c>
      <c r="E51" s="64" t="str">
        <f>IFERROR(IF(D51=計算シート!$B$7,"○",""),"")</f>
        <v/>
      </c>
      <c r="F51" s="23" t="s">
        <v>323</v>
      </c>
      <c r="G51" s="64" t="str">
        <f>IFERROR(IF(AND(計算シート!$B$11&gt;10460,計算シート!$B$11&lt;=14860),"○",""),"")</f>
        <v/>
      </c>
      <c r="H51" s="23" t="s">
        <v>84</v>
      </c>
      <c r="I51" s="64" t="str">
        <f t="shared" ref="I51:I52" si="4">G51</f>
        <v/>
      </c>
      <c r="J51" s="64">
        <f>ROUNDDOWN(計算シート!$B$11*0.45,0)</f>
        <v>0</v>
      </c>
      <c r="K51" s="64" t="str">
        <f>IF(AND(計算シート!$E$3='計算式あて（当初）'!C51,E51="○",G51="○",I51="○"),"☆","")</f>
        <v/>
      </c>
      <c r="L51" s="66" t="str">
        <f>IF(AND(計算シート!$E$5='計算式あて（当初）'!C51,E51="○",G51="○",I51="○"),"◇","")</f>
        <v/>
      </c>
    </row>
    <row r="52" spans="1:12">
      <c r="A52" s="27"/>
      <c r="B52" s="28"/>
      <c r="C52" s="24">
        <v>42583</v>
      </c>
      <c r="D52" s="23" t="s">
        <v>70</v>
      </c>
      <c r="E52" s="64" t="str">
        <f>IFERROR(IF(D52=計算シート!$B$7,"○",""),"")</f>
        <v/>
      </c>
      <c r="F52" s="23" t="s">
        <v>324</v>
      </c>
      <c r="G52" s="64" t="str">
        <f>IFERROR(IF(計算シート!$B$11&gt;14860,"○",""),"")</f>
        <v/>
      </c>
      <c r="H52" s="23" t="s">
        <v>322</v>
      </c>
      <c r="I52" s="64" t="str">
        <f t="shared" si="4"/>
        <v/>
      </c>
      <c r="J52" s="64">
        <v>6687</v>
      </c>
      <c r="K52" s="64" t="str">
        <f>IF(AND(計算シート!$E$3='計算式あて（当初）'!C52,E52="○",G52="○",I52="○"),"☆","")</f>
        <v/>
      </c>
      <c r="L52" s="66" t="str">
        <f>IF(AND(計算シート!$E$5='計算式あて（当初）'!C52,E52="○",G52="○",I52="○"),"◇","")</f>
        <v/>
      </c>
    </row>
    <row r="53" spans="1:12" ht="27">
      <c r="A53" s="25"/>
      <c r="B53" s="26" t="s">
        <v>425</v>
      </c>
      <c r="C53" s="24">
        <v>42217</v>
      </c>
      <c r="D53" s="23" t="s">
        <v>67</v>
      </c>
      <c r="E53" s="64" t="str">
        <f>IFERROR(IF(D53=計算シート!$B$7,"○",""),"")</f>
        <v/>
      </c>
      <c r="F53" s="23" t="s">
        <v>325</v>
      </c>
      <c r="G53" s="64" t="str">
        <f>IFERROR(IF(AND(計算シート!$B$11&gt;=2300,計算シート!$B$11&lt;4600),"○",""),"")</f>
        <v/>
      </c>
      <c r="H53" s="23" t="s">
        <v>80</v>
      </c>
      <c r="I53" s="64" t="str">
        <f>G53</f>
        <v/>
      </c>
      <c r="J53" s="64">
        <f>ROUNDDOWN(計算シート!$B$11*0.8,0)</f>
        <v>0</v>
      </c>
      <c r="K53" s="64" t="str">
        <f>IF(AND(計算シート!$E$3='計算式あて（当初）'!C53,E53="○",G53="○",I53="○"),"☆","")</f>
        <v/>
      </c>
      <c r="L53" s="66" t="str">
        <f>IF(AND(計算シート!$E$5='計算式あて（当初）'!C53,E53="○",G53="○",I53="○"),"◇","")</f>
        <v/>
      </c>
    </row>
    <row r="54" spans="1:12">
      <c r="A54" s="25"/>
      <c r="B54" s="25"/>
      <c r="C54" s="24">
        <v>42217</v>
      </c>
      <c r="D54" s="23" t="s">
        <v>67</v>
      </c>
      <c r="E54" s="64" t="str">
        <f>IFERROR(IF(D54=計算シート!$B$7,"○",""),"")</f>
        <v/>
      </c>
      <c r="F54" s="23" t="s">
        <v>535</v>
      </c>
      <c r="G54" s="64" t="str">
        <f>IFERROR(IF(AND(計算シート!$B$11&gt;=4600,計算シート!$B$11&lt;=11660),"○",""),"")</f>
        <v/>
      </c>
      <c r="H54" s="23" t="s">
        <v>326</v>
      </c>
      <c r="I54" s="64" t="str">
        <f t="shared" ref="I54:I65" si="5">G54</f>
        <v/>
      </c>
      <c r="J54" s="64">
        <f>ROUNDDOWN(0.8*計算シート!$B$11-0.3*((計算シート!$B$11-4600)/(11660-4600))*計算シート!$B$11,0)</f>
        <v>0</v>
      </c>
      <c r="K54" s="64" t="str">
        <f>IF(AND(計算シート!$E$3='計算式あて（当初）'!C54,E54="○",G54="○",I54="○"),"☆","")</f>
        <v/>
      </c>
      <c r="L54" s="66" t="str">
        <f>IF(AND(計算シート!$E$5='計算式あて（当初）'!C54,E54="○",G54="○",I54="○"),"◇","")</f>
        <v/>
      </c>
    </row>
    <row r="55" spans="1:12">
      <c r="A55" s="25"/>
      <c r="B55" s="25"/>
      <c r="C55" s="24">
        <v>42217</v>
      </c>
      <c r="D55" s="23" t="s">
        <v>67</v>
      </c>
      <c r="E55" s="64" t="str">
        <f>IFERROR(IF(D55=計算シート!$B$7,"○",""),"")</f>
        <v/>
      </c>
      <c r="F55" s="23" t="s">
        <v>536</v>
      </c>
      <c r="G55" s="64" t="str">
        <f>IFERROR(IF(AND(計算シート!$B$11&gt;11660,計算シート!$B$11&lt;=12790),"○",""),"")</f>
        <v/>
      </c>
      <c r="H55" s="23" t="s">
        <v>82</v>
      </c>
      <c r="I55" s="64" t="str">
        <f t="shared" si="5"/>
        <v/>
      </c>
      <c r="J55" s="64">
        <f>ROUNDDOWN(計算シート!$B$11*0.5,0)</f>
        <v>0</v>
      </c>
      <c r="K55" s="64" t="str">
        <f>IF(AND(計算シート!$E$3='計算式あて（当初）'!C55,E55="○",G55="○",I55="○"),"☆","")</f>
        <v/>
      </c>
      <c r="L55" s="66" t="str">
        <f>IF(AND(計算シート!$E$5='計算式あて（当初）'!C55,E55="○",G55="○",I55="○"),"◇","")</f>
        <v/>
      </c>
    </row>
    <row r="56" spans="1:12">
      <c r="A56" s="25"/>
      <c r="B56" s="25"/>
      <c r="C56" s="24">
        <v>42217</v>
      </c>
      <c r="D56" s="23" t="s">
        <v>67</v>
      </c>
      <c r="E56" s="64" t="str">
        <f>IFERROR(IF(D56=計算シート!$B$7,"○",""),"")</f>
        <v/>
      </c>
      <c r="F56" s="23" t="s">
        <v>333</v>
      </c>
      <c r="G56" s="64" t="str">
        <f>IFERROR(IF(計算シート!$B$11&gt;12790,"○",""),"")</f>
        <v/>
      </c>
      <c r="H56" s="23" t="s">
        <v>337</v>
      </c>
      <c r="I56" s="64" t="str">
        <f t="shared" si="5"/>
        <v/>
      </c>
      <c r="J56" s="64">
        <v>6395</v>
      </c>
      <c r="K56" s="64" t="str">
        <f>IF(AND(計算シート!$E$3='計算式あて（当初）'!C56,E56="○",G56="○",I56="○"),"☆","")</f>
        <v/>
      </c>
      <c r="L56" s="66" t="str">
        <f>IF(AND(計算シート!$E$5='計算式あて（当初）'!C56,E56="○",G56="○",I56="○"),"◇","")</f>
        <v/>
      </c>
    </row>
    <row r="57" spans="1:12">
      <c r="A57" s="25"/>
      <c r="B57" s="25"/>
      <c r="C57" s="24">
        <v>42217</v>
      </c>
      <c r="D57" s="23" t="s">
        <v>68</v>
      </c>
      <c r="E57" s="64" t="str">
        <f>IFERROR(IF(D57=計算シート!$B$7,"○",""),"")</f>
        <v/>
      </c>
      <c r="F57" s="23" t="s">
        <v>325</v>
      </c>
      <c r="G57" s="64" t="str">
        <f>IFERROR(IF(AND(計算シート!$B$11&gt;=2300,計算シート!$B$11&lt;4600),"○",""),"")</f>
        <v/>
      </c>
      <c r="H57" s="23" t="s">
        <v>80</v>
      </c>
      <c r="I57" s="64" t="str">
        <f t="shared" si="5"/>
        <v/>
      </c>
      <c r="J57" s="64">
        <f>ROUNDDOWN(計算シート!$B$11*0.8,0)</f>
        <v>0</v>
      </c>
      <c r="K57" s="64" t="str">
        <f>IF(AND(計算シート!$E$3='計算式あて（当初）'!C57,E57="○",G57="○",I57="○"),"☆","")</f>
        <v/>
      </c>
      <c r="L57" s="66" t="str">
        <f>IF(AND(計算シート!$E$5='計算式あて（当初）'!C57,E57="○",G57="○",I57="○"),"◇","")</f>
        <v/>
      </c>
    </row>
    <row r="58" spans="1:12">
      <c r="A58" s="25"/>
      <c r="B58" s="25"/>
      <c r="C58" s="24">
        <v>42217</v>
      </c>
      <c r="D58" s="23" t="s">
        <v>68</v>
      </c>
      <c r="E58" s="64" t="str">
        <f>IFERROR(IF(D58=計算シート!$B$7,"○",""),"")</f>
        <v/>
      </c>
      <c r="F58" s="23" t="s">
        <v>535</v>
      </c>
      <c r="G58" s="64" t="str">
        <f>IFERROR(IF(AND(計算シート!$B$11&gt;=4600,計算シート!$B$11&lt;=11660),"○",""),"")</f>
        <v/>
      </c>
      <c r="H58" s="23" t="s">
        <v>326</v>
      </c>
      <c r="I58" s="64" t="str">
        <f t="shared" si="5"/>
        <v/>
      </c>
      <c r="J58" s="64">
        <f>ROUNDDOWN(0.8*計算シート!$B$11-0.3*((計算シート!$B$11-4600)/(11660-4600))*計算シート!$B$11,0)</f>
        <v>0</v>
      </c>
      <c r="K58" s="64" t="str">
        <f>IF(AND(計算シート!$E$3='計算式あて（当初）'!C58,E58="○",G58="○",I58="○"),"☆","")</f>
        <v/>
      </c>
      <c r="L58" s="66" t="str">
        <f>IF(AND(計算シート!$E$5='計算式あて（当初）'!C58,E58="○",G58="○",I58="○"),"◇","")</f>
        <v/>
      </c>
    </row>
    <row r="59" spans="1:12">
      <c r="A59" s="25"/>
      <c r="B59" s="25"/>
      <c r="C59" s="24">
        <v>42217</v>
      </c>
      <c r="D59" s="23" t="s">
        <v>68</v>
      </c>
      <c r="E59" s="64" t="str">
        <f>IFERROR(IF(D59=計算シート!$B$7,"○",""),"")</f>
        <v/>
      </c>
      <c r="F59" s="23" t="s">
        <v>537</v>
      </c>
      <c r="G59" s="64" t="str">
        <f>IFERROR(IF(AND(計算シート!$B$11&gt;11660,計算シート!$B$11&lt;=14210),"○",""),"")</f>
        <v/>
      </c>
      <c r="H59" s="23" t="s">
        <v>82</v>
      </c>
      <c r="I59" s="64" t="str">
        <f t="shared" si="5"/>
        <v/>
      </c>
      <c r="J59" s="64">
        <f>ROUNDDOWN(計算シート!$B$11*0.5,0)</f>
        <v>0</v>
      </c>
      <c r="K59" s="64" t="str">
        <f>IF(AND(計算シート!$E$3='計算式あて（当初）'!C59,E59="○",G59="○",I59="○"),"☆","")</f>
        <v/>
      </c>
      <c r="L59" s="66" t="str">
        <f>IF(AND(計算シート!$E$5='計算式あて（当初）'!C59,E59="○",G59="○",I59="○"),"◇","")</f>
        <v/>
      </c>
    </row>
    <row r="60" spans="1:12">
      <c r="A60" s="25"/>
      <c r="B60" s="25"/>
      <c r="C60" s="24">
        <v>42217</v>
      </c>
      <c r="D60" s="23" t="s">
        <v>68</v>
      </c>
      <c r="E60" s="64" t="str">
        <f>IFERROR(IF(D60=計算シート!$B$7,"○",""),"")</f>
        <v/>
      </c>
      <c r="F60" s="23" t="s">
        <v>327</v>
      </c>
      <c r="G60" s="64" t="str">
        <f>IFERROR(IF(計算シート!$B$11&gt;14210,"○",""),"")</f>
        <v/>
      </c>
      <c r="H60" s="23" t="s">
        <v>334</v>
      </c>
      <c r="I60" s="64" t="str">
        <f t="shared" si="5"/>
        <v/>
      </c>
      <c r="J60" s="64">
        <v>7105</v>
      </c>
      <c r="K60" s="64" t="str">
        <f>IF(AND(計算シート!$E$3='計算式あて（当初）'!C60,E60="○",G60="○",I60="○"),"☆","")</f>
        <v/>
      </c>
      <c r="L60" s="66" t="str">
        <f>IF(AND(計算シート!$E$5='計算式あて（当初）'!C60,E60="○",G60="○",I60="○"),"◇","")</f>
        <v/>
      </c>
    </row>
    <row r="61" spans="1:12">
      <c r="A61" s="25"/>
      <c r="B61" s="25"/>
      <c r="C61" s="24">
        <v>42217</v>
      </c>
      <c r="D61" s="23" t="s">
        <v>69</v>
      </c>
      <c r="E61" s="64" t="str">
        <f>IFERROR(IF(D61=計算シート!$B$7,"○",""),"")</f>
        <v/>
      </c>
      <c r="F61" s="23" t="s">
        <v>325</v>
      </c>
      <c r="G61" s="64" t="str">
        <f>IFERROR(IF(AND(計算シート!$B$11&gt;=2300,計算シート!$B$11&lt;4600),"○",""),"")</f>
        <v/>
      </c>
      <c r="H61" s="23" t="s">
        <v>80</v>
      </c>
      <c r="I61" s="64" t="str">
        <f t="shared" si="5"/>
        <v/>
      </c>
      <c r="J61" s="64">
        <f>ROUNDDOWN(計算シート!$B$11*0.8,0)</f>
        <v>0</v>
      </c>
      <c r="K61" s="64" t="str">
        <f>IF(AND(計算シート!$E$3='計算式あて（当初）'!C61,E61="○",G61="○",I61="○"),"☆","")</f>
        <v/>
      </c>
      <c r="L61" s="66" t="str">
        <f>IF(AND(計算シート!$E$5='計算式あて（当初）'!C61,E61="○",G61="○",I61="○"),"◇","")</f>
        <v/>
      </c>
    </row>
    <row r="62" spans="1:12">
      <c r="A62" s="25"/>
      <c r="B62" s="25"/>
      <c r="C62" s="24">
        <v>42217</v>
      </c>
      <c r="D62" s="23" t="s">
        <v>69</v>
      </c>
      <c r="E62" s="64" t="str">
        <f>IFERROR(IF(D62=計算シート!$B$7,"○",""),"")</f>
        <v/>
      </c>
      <c r="F62" s="23" t="s">
        <v>535</v>
      </c>
      <c r="G62" s="64" t="str">
        <f>IFERROR(IF(AND(計算シート!$B$11&gt;=4600,計算シート!$B$11&lt;=11660),"○",""),"")</f>
        <v/>
      </c>
      <c r="H62" s="23" t="s">
        <v>326</v>
      </c>
      <c r="I62" s="64" t="str">
        <f t="shared" si="5"/>
        <v/>
      </c>
      <c r="J62" s="64">
        <f>ROUNDDOWN(0.8*計算シート!$B$11-0.3*((計算シート!$B$11-4600)/(11660-4600))*計算シート!$B$11,0)</f>
        <v>0</v>
      </c>
      <c r="K62" s="64" t="str">
        <f>IF(AND(計算シート!$E$3='計算式あて（当初）'!C62,E62="○",G62="○",I62="○"),"☆","")</f>
        <v/>
      </c>
      <c r="L62" s="66" t="str">
        <f>IF(AND(計算シート!$E$5='計算式あて（当初）'!C62,E62="○",G62="○",I62="○"),"◇","")</f>
        <v/>
      </c>
    </row>
    <row r="63" spans="1:12">
      <c r="A63" s="25"/>
      <c r="B63" s="25"/>
      <c r="C63" s="24">
        <v>42217</v>
      </c>
      <c r="D63" s="23" t="s">
        <v>69</v>
      </c>
      <c r="E63" s="64" t="str">
        <f>IFERROR(IF(D63=計算シート!$B$7,"○",""),"")</f>
        <v/>
      </c>
      <c r="F63" s="23" t="s">
        <v>538</v>
      </c>
      <c r="G63" s="64" t="str">
        <f>IFERROR(IF(AND(計算シート!$B$11&gt;11660,計算シート!$B$11&lt;=15620),"○",""),"")</f>
        <v/>
      </c>
      <c r="H63" s="23" t="s">
        <v>82</v>
      </c>
      <c r="I63" s="64" t="str">
        <f t="shared" si="5"/>
        <v/>
      </c>
      <c r="J63" s="64">
        <f>ROUNDDOWN(計算シート!$B$11*0.5,0)</f>
        <v>0</v>
      </c>
      <c r="K63" s="64" t="str">
        <f>IF(AND(計算シート!$E$3='計算式あて（当初）'!C63,E63="○",G63="○",I63="○"),"☆","")</f>
        <v/>
      </c>
      <c r="L63" s="66" t="str">
        <f>IF(AND(計算シート!$E$5='計算式あて（当初）'!C63,E63="○",G63="○",I63="○"),"◇","")</f>
        <v/>
      </c>
    </row>
    <row r="64" spans="1:12">
      <c r="A64" s="25"/>
      <c r="B64" s="25"/>
      <c r="C64" s="24">
        <v>42217</v>
      </c>
      <c r="D64" s="23" t="s">
        <v>69</v>
      </c>
      <c r="E64" s="64" t="str">
        <f>IFERROR(IF(D64=計算シート!$B$7,"○",""),"")</f>
        <v/>
      </c>
      <c r="F64" s="23" t="s">
        <v>328</v>
      </c>
      <c r="G64" s="64" t="str">
        <f>IFERROR(IF(計算シート!$B$11&gt;15620,"○",""),"")</f>
        <v/>
      </c>
      <c r="H64" s="23" t="s">
        <v>335</v>
      </c>
      <c r="I64" s="64" t="str">
        <f t="shared" si="5"/>
        <v/>
      </c>
      <c r="J64" s="64">
        <v>7810</v>
      </c>
      <c r="K64" s="64" t="str">
        <f>IF(AND(計算シート!$E$3='計算式あて（当初）'!C64,E64="○",G64="○",I64="○"),"☆","")</f>
        <v/>
      </c>
      <c r="L64" s="66" t="str">
        <f>IF(AND(計算シート!$E$5='計算式あて（当初）'!C64,E64="○",G64="○",I64="○"),"◇","")</f>
        <v/>
      </c>
    </row>
    <row r="65" spans="1:12">
      <c r="A65" s="25"/>
      <c r="B65" s="25"/>
      <c r="C65" s="24">
        <v>42217</v>
      </c>
      <c r="D65" s="23" t="s">
        <v>70</v>
      </c>
      <c r="E65" s="64" t="str">
        <f>IFERROR(IF(D65=計算シート!$B$7,"○",""),"")</f>
        <v/>
      </c>
      <c r="F65" s="23" t="s">
        <v>325</v>
      </c>
      <c r="G65" s="64" t="str">
        <f>IFERROR(IF(AND(計算シート!$B$11&gt;=2300,計算シート!$B$11&lt;4600),"○",""),"")</f>
        <v/>
      </c>
      <c r="H65" s="23" t="s">
        <v>80</v>
      </c>
      <c r="I65" s="64" t="str">
        <f t="shared" si="5"/>
        <v/>
      </c>
      <c r="J65" s="64">
        <f>ROUNDDOWN(計算シート!$B$11*0.8,0)</f>
        <v>0</v>
      </c>
      <c r="K65" s="64" t="str">
        <f>IF(AND(計算シート!$E$3='計算式あて（当初）'!C65,E65="○",G65="○",I65="○"),"☆","")</f>
        <v/>
      </c>
      <c r="L65" s="66" t="str">
        <f>IF(AND(計算シート!$E$5='計算式あて（当初）'!C65,E65="○",G65="○",I65="○"),"◇","")</f>
        <v/>
      </c>
    </row>
    <row r="66" spans="1:12">
      <c r="A66" s="25"/>
      <c r="B66" s="25"/>
      <c r="C66" s="24">
        <v>42217</v>
      </c>
      <c r="D66" s="23" t="s">
        <v>70</v>
      </c>
      <c r="E66" s="64" t="str">
        <f>IFERROR(IF(D66=計算シート!$B$7,"○",""),"")</f>
        <v/>
      </c>
      <c r="F66" s="23" t="s">
        <v>539</v>
      </c>
      <c r="G66" s="64" t="str">
        <f>IFERROR(IF(AND(計算シート!$B$11&gt;=4600,計算シート!$B$11&lt;=10500),"○",""),"")</f>
        <v/>
      </c>
      <c r="H66" s="23" t="s">
        <v>329</v>
      </c>
      <c r="I66" s="64" t="str">
        <f>IFERROR(IF(J66&lt;J67,"○",""),"")</f>
        <v>○</v>
      </c>
      <c r="J66" s="64">
        <f>ROUNDDOWN(0.8*計算シート!$B$11-0.35*((計算シート!$B$11-4600)/(10500-4600))*計算シート!$B$11,0)</f>
        <v>0</v>
      </c>
      <c r="K66" s="64" t="str">
        <f>IF(AND(計算シート!$E$3='計算式あて（当初）'!C66,E66="○",G66="○",I66="○"),"☆","")</f>
        <v/>
      </c>
      <c r="L66" s="66" t="str">
        <f>IF(AND(計算シート!$E$5='計算式あて（当初）'!C66,E66="○",G66="○",I66="○"),"◇","")</f>
        <v/>
      </c>
    </row>
    <row r="67" spans="1:12">
      <c r="A67" s="25"/>
      <c r="B67" s="25"/>
      <c r="C67" s="24">
        <v>42217</v>
      </c>
      <c r="D67" s="23" t="s">
        <v>70</v>
      </c>
      <c r="E67" s="64" t="str">
        <f>IFERROR(IF(D67=計算シート!$B$7,"○",""),"")</f>
        <v/>
      </c>
      <c r="F67" s="23" t="s">
        <v>539</v>
      </c>
      <c r="G67" s="64" t="str">
        <f>IFERROR(IF(AND(計算シート!$B$11&gt;=4600,計算シート!$B$11&lt;=10500),"○",""),"")</f>
        <v/>
      </c>
      <c r="H67" s="23" t="s">
        <v>330</v>
      </c>
      <c r="I67" s="64" t="str">
        <f>IFERROR(IF(J67&lt;J66,"○",""),"")</f>
        <v/>
      </c>
      <c r="J67" s="64">
        <f>ROUNDDOWN(計算シート!$B$11*0.05+(10500*0.4),0)</f>
        <v>4200</v>
      </c>
      <c r="K67" s="64" t="str">
        <f>IF(AND(計算シート!$E$3='計算式あて（当初）'!C67,E67="○",G67="○",I67="○"),"☆","")</f>
        <v/>
      </c>
      <c r="L67" s="66" t="str">
        <f>IF(AND(計算シート!$E$5='計算式あて（当初）'!C67,E67="○",G67="○",I67="○"),"◇","")</f>
        <v/>
      </c>
    </row>
    <row r="68" spans="1:12">
      <c r="A68" s="25"/>
      <c r="B68" s="25"/>
      <c r="C68" s="24">
        <v>42217</v>
      </c>
      <c r="D68" s="23" t="s">
        <v>70</v>
      </c>
      <c r="E68" s="64" t="str">
        <f>IFERROR(IF(D68=計算シート!$B$7,"○",""),"")</f>
        <v/>
      </c>
      <c r="F68" s="23" t="s">
        <v>331</v>
      </c>
      <c r="G68" s="64" t="str">
        <f>IFERROR(IF(AND(計算シート!$B$11&gt;10500,計算シート!$B$11&lt;=14920),"○",""),"")</f>
        <v/>
      </c>
      <c r="H68" s="23" t="s">
        <v>84</v>
      </c>
      <c r="I68" s="64" t="str">
        <f t="shared" ref="I68:I69" si="6">G68</f>
        <v/>
      </c>
      <c r="J68" s="64">
        <f>ROUNDDOWN(計算シート!$B$11*0.45,0)</f>
        <v>0</v>
      </c>
      <c r="K68" s="64" t="str">
        <f>IF(AND(計算シート!$E$3='計算式あて（当初）'!C68,E68="○",G68="○",I68="○"),"☆","")</f>
        <v/>
      </c>
      <c r="L68" s="66" t="str">
        <f>IF(AND(計算シート!$E$5='計算式あて（当初）'!C68,E68="○",G68="○",I68="○"),"◇","")</f>
        <v/>
      </c>
    </row>
    <row r="69" spans="1:12">
      <c r="A69" s="27"/>
      <c r="B69" s="28"/>
      <c r="C69" s="24">
        <v>42217</v>
      </c>
      <c r="D69" s="23" t="s">
        <v>70</v>
      </c>
      <c r="E69" s="64" t="str">
        <f>IFERROR(IF(D69=計算シート!$B$7,"○",""),"")</f>
        <v/>
      </c>
      <c r="F69" s="23" t="s">
        <v>332</v>
      </c>
      <c r="G69" s="64" t="str">
        <f>IFERROR(IF(計算シート!$B$11&gt;14920,"○",""),"")</f>
        <v/>
      </c>
      <c r="H69" s="23" t="s">
        <v>336</v>
      </c>
      <c r="I69" s="64" t="str">
        <f t="shared" si="6"/>
        <v/>
      </c>
      <c r="J69" s="64">
        <v>6714</v>
      </c>
      <c r="K69" s="64" t="str">
        <f>IF(AND(計算シート!$E$3='計算式あて（当初）'!C69,E69="○",G69="○",I69="○"),"☆","")</f>
        <v/>
      </c>
      <c r="L69" s="66" t="str">
        <f>IF(AND(計算シート!$E$5='計算式あて（当初）'!C69,E69="○",G69="○",I69="○"),"◇","")</f>
        <v/>
      </c>
    </row>
    <row r="70" spans="1:12" ht="27">
      <c r="A70" s="25"/>
      <c r="B70" s="26" t="s">
        <v>426</v>
      </c>
      <c r="C70" s="24">
        <v>41852</v>
      </c>
      <c r="D70" s="23" t="s">
        <v>67</v>
      </c>
      <c r="E70" s="64" t="str">
        <f>IFERROR(IF(D70=計算シート!$B$7,"○",""),"")</f>
        <v/>
      </c>
      <c r="F70" s="23" t="s">
        <v>325</v>
      </c>
      <c r="G70" s="64" t="str">
        <f>IFERROR(IF(AND(計算シート!$B$11&gt;=2300,計算シート!$B$11&lt;4600),"○",""),"")</f>
        <v/>
      </c>
      <c r="H70" s="23" t="s">
        <v>80</v>
      </c>
      <c r="I70" s="64" t="str">
        <f>G70</f>
        <v/>
      </c>
      <c r="J70" s="64">
        <f>ROUNDDOWN(計算シート!$B$11*0.8,0)</f>
        <v>0</v>
      </c>
      <c r="K70" s="64" t="str">
        <f>IF(AND(計算シート!$E$3='計算式あて（当初）'!C70,E70="○",G70="○",I70="○"),"☆","")</f>
        <v/>
      </c>
      <c r="L70" s="66" t="str">
        <f>IF(AND(計算シート!$E$5='計算式あて（当初）'!C70,E70="○",G70="○",I70="○"),"◇","")</f>
        <v/>
      </c>
    </row>
    <row r="71" spans="1:12">
      <c r="A71" s="25"/>
      <c r="B71" s="25"/>
      <c r="C71" s="24">
        <v>41852</v>
      </c>
      <c r="D71" s="23" t="s">
        <v>67</v>
      </c>
      <c r="E71" s="64" t="str">
        <f>IFERROR(IF(D71=計算シート!$B$7,"○",""),"")</f>
        <v/>
      </c>
      <c r="F71" s="23" t="s">
        <v>540</v>
      </c>
      <c r="G71" s="64" t="str">
        <f>IFERROR(IF(AND(計算シート!$B$11&gt;=4600,計算シート!$B$11&lt;=11650),"○",""),"")</f>
        <v/>
      </c>
      <c r="H71" s="23" t="s">
        <v>338</v>
      </c>
      <c r="I71" s="64" t="str">
        <f t="shared" ref="I71:I82" si="7">G71</f>
        <v/>
      </c>
      <c r="J71" s="64">
        <f>ROUNDDOWN(0.8*計算シート!$B$11-0.3*((計算シート!$B$11-4600)/(11650-4600))*計算シート!$B$11,0)</f>
        <v>0</v>
      </c>
      <c r="K71" s="64" t="str">
        <f>IF(AND(計算シート!$E$3='計算式あて（当初）'!C71,E71="○",G71="○",I71="○"),"☆","")</f>
        <v/>
      </c>
      <c r="L71" s="66" t="str">
        <f>IF(AND(計算シート!$E$5='計算式あて（当初）'!C71,E71="○",G71="○",I71="○"),"◇","")</f>
        <v/>
      </c>
    </row>
    <row r="72" spans="1:12">
      <c r="A72" s="25"/>
      <c r="B72" s="25"/>
      <c r="C72" s="24">
        <v>41852</v>
      </c>
      <c r="D72" s="23" t="s">
        <v>67</v>
      </c>
      <c r="E72" s="64" t="str">
        <f>IFERROR(IF(D72=計算シート!$B$7,"○",""),"")</f>
        <v/>
      </c>
      <c r="F72" s="23" t="s">
        <v>541</v>
      </c>
      <c r="G72" s="64" t="str">
        <f>IFERROR(IF(AND(計算シート!$B$11&gt;11650,計算シート!$B$11&lt;=12780),"○",""),"")</f>
        <v/>
      </c>
      <c r="H72" s="23" t="s">
        <v>82</v>
      </c>
      <c r="I72" s="64" t="str">
        <f t="shared" si="7"/>
        <v/>
      </c>
      <c r="J72" s="64">
        <f>ROUNDDOWN(計算シート!$B$11*0.5,0)</f>
        <v>0</v>
      </c>
      <c r="K72" s="64" t="str">
        <f>IF(AND(計算シート!$E$3='計算式あて（当初）'!C72,E72="○",G72="○",I72="○"),"☆","")</f>
        <v/>
      </c>
      <c r="L72" s="66" t="str">
        <f>IF(AND(計算シート!$E$5='計算式あて（当初）'!C72,E72="○",G72="○",I72="○"),"◇","")</f>
        <v/>
      </c>
    </row>
    <row r="73" spans="1:12">
      <c r="A73" s="25"/>
      <c r="B73" s="25"/>
      <c r="C73" s="24">
        <v>41852</v>
      </c>
      <c r="D73" s="23" t="s">
        <v>67</v>
      </c>
      <c r="E73" s="64" t="str">
        <f>IFERROR(IF(D73=計算シート!$B$7,"○",""),"")</f>
        <v/>
      </c>
      <c r="F73" s="23" t="s">
        <v>344</v>
      </c>
      <c r="G73" s="64" t="str">
        <f>IFERROR(IF(計算シート!$B$11&gt;12780,"○",""),"")</f>
        <v/>
      </c>
      <c r="H73" s="23" t="s">
        <v>348</v>
      </c>
      <c r="I73" s="64" t="str">
        <f t="shared" si="7"/>
        <v/>
      </c>
      <c r="J73" s="64">
        <v>6390</v>
      </c>
      <c r="K73" s="64" t="str">
        <f>IF(AND(計算シート!$E$3='計算式あて（当初）'!C73,E73="○",G73="○",I73="○"),"☆","")</f>
        <v/>
      </c>
      <c r="L73" s="66" t="str">
        <f>IF(AND(計算シート!$E$5='計算式あて（当初）'!C73,E73="○",G73="○",I73="○"),"◇","")</f>
        <v/>
      </c>
    </row>
    <row r="74" spans="1:12">
      <c r="A74" s="25"/>
      <c r="B74" s="25"/>
      <c r="C74" s="24">
        <v>41852</v>
      </c>
      <c r="D74" s="23" t="s">
        <v>68</v>
      </c>
      <c r="E74" s="64" t="str">
        <f>IFERROR(IF(D74=計算シート!$B$7,"○",""),"")</f>
        <v/>
      </c>
      <c r="F74" s="23" t="s">
        <v>325</v>
      </c>
      <c r="G74" s="64" t="str">
        <f>IFERROR(IF(AND(計算シート!$B$11&gt;=2300,計算シート!$B$11&lt;4600),"○",""),"")</f>
        <v/>
      </c>
      <c r="H74" s="23" t="s">
        <v>80</v>
      </c>
      <c r="I74" s="64" t="str">
        <f t="shared" si="7"/>
        <v/>
      </c>
      <c r="J74" s="64">
        <f>ROUNDDOWN(計算シート!$B$11*0.8,0)</f>
        <v>0</v>
      </c>
      <c r="K74" s="64" t="str">
        <f>IF(AND(計算シート!$E$3='計算式あて（当初）'!C74,E74="○",G74="○",I74="○"),"☆","")</f>
        <v/>
      </c>
      <c r="L74" s="66" t="str">
        <f>IF(AND(計算シート!$E$5='計算式あて（当初）'!C74,E74="○",G74="○",I74="○"),"◇","")</f>
        <v/>
      </c>
    </row>
    <row r="75" spans="1:12">
      <c r="A75" s="25"/>
      <c r="B75" s="25"/>
      <c r="C75" s="24">
        <v>41852</v>
      </c>
      <c r="D75" s="23" t="s">
        <v>68</v>
      </c>
      <c r="E75" s="64" t="str">
        <f>IFERROR(IF(D75=計算シート!$B$7,"○",""),"")</f>
        <v/>
      </c>
      <c r="F75" s="23" t="s">
        <v>540</v>
      </c>
      <c r="G75" s="64" t="str">
        <f>IFERROR(IF(AND(計算シート!$B$11&gt;=4600,計算シート!$B$11&lt;=11650),"○",""),"")</f>
        <v/>
      </c>
      <c r="H75" s="23" t="s">
        <v>338</v>
      </c>
      <c r="I75" s="64" t="str">
        <f t="shared" si="7"/>
        <v/>
      </c>
      <c r="J75" s="64">
        <f>ROUNDDOWN(0.8*計算シート!$B$11-0.3*((計算シート!$B$11-4600)/(11650-4600))*計算シート!$B$11,0)</f>
        <v>0</v>
      </c>
      <c r="K75" s="64" t="str">
        <f>IF(AND(計算シート!$E$3='計算式あて（当初）'!C75,E75="○",G75="○",I75="○"),"☆","")</f>
        <v/>
      </c>
      <c r="L75" s="66" t="str">
        <f>IF(AND(計算シート!$E$5='計算式あて（当初）'!C75,E75="○",G75="○",I75="○"),"◇","")</f>
        <v/>
      </c>
    </row>
    <row r="76" spans="1:12">
      <c r="A76" s="25"/>
      <c r="B76" s="25"/>
      <c r="C76" s="24">
        <v>41852</v>
      </c>
      <c r="D76" s="23" t="s">
        <v>68</v>
      </c>
      <c r="E76" s="64" t="str">
        <f>IFERROR(IF(D76=計算シート!$B$7,"○",""),"")</f>
        <v/>
      </c>
      <c r="F76" s="23" t="s">
        <v>542</v>
      </c>
      <c r="G76" s="64" t="str">
        <f>IFERROR(IF(AND(計算シート!$B$11&gt;11650,計算シート!$B$11&lt;=14200),"○",""),"")</f>
        <v/>
      </c>
      <c r="H76" s="23" t="s">
        <v>82</v>
      </c>
      <c r="I76" s="64" t="str">
        <f t="shared" si="7"/>
        <v/>
      </c>
      <c r="J76" s="64">
        <f>ROUNDDOWN(計算シート!$B$11*0.5,0)</f>
        <v>0</v>
      </c>
      <c r="K76" s="64" t="str">
        <f>IF(AND(計算シート!$E$3='計算式あて（当初）'!C76,E76="○",G76="○",I76="○"),"☆","")</f>
        <v/>
      </c>
      <c r="L76" s="66" t="str">
        <f>IF(AND(計算シート!$E$5='計算式あて（当初）'!C76,E76="○",G76="○",I76="○"),"◇","")</f>
        <v/>
      </c>
    </row>
    <row r="77" spans="1:12">
      <c r="A77" s="25"/>
      <c r="B77" s="25"/>
      <c r="C77" s="24">
        <v>41852</v>
      </c>
      <c r="D77" s="23" t="s">
        <v>68</v>
      </c>
      <c r="E77" s="64" t="str">
        <f>IFERROR(IF(D77=計算シート!$B$7,"○",""),"")</f>
        <v/>
      </c>
      <c r="F77" s="23" t="s">
        <v>339</v>
      </c>
      <c r="G77" s="64" t="str">
        <f>IFERROR(IF(計算シート!$B$11&gt;14200,"○",""),"")</f>
        <v/>
      </c>
      <c r="H77" s="23" t="s">
        <v>345</v>
      </c>
      <c r="I77" s="64" t="str">
        <f t="shared" si="7"/>
        <v/>
      </c>
      <c r="J77" s="64">
        <v>7100</v>
      </c>
      <c r="K77" s="64" t="str">
        <f>IF(AND(計算シート!$E$3='計算式あて（当初）'!C77,E77="○",G77="○",I77="○"),"☆","")</f>
        <v/>
      </c>
      <c r="L77" s="66" t="str">
        <f>IF(AND(計算シート!$E$5='計算式あて（当初）'!C77,E77="○",G77="○",I77="○"),"◇","")</f>
        <v/>
      </c>
    </row>
    <row r="78" spans="1:12">
      <c r="A78" s="25"/>
      <c r="B78" s="25"/>
      <c r="C78" s="24">
        <v>41852</v>
      </c>
      <c r="D78" s="23" t="s">
        <v>69</v>
      </c>
      <c r="E78" s="64" t="str">
        <f>IFERROR(IF(D78=計算シート!$B$7,"○",""),"")</f>
        <v/>
      </c>
      <c r="F78" s="23" t="s">
        <v>325</v>
      </c>
      <c r="G78" s="64" t="str">
        <f>IFERROR(IF(AND(計算シート!$B$11&gt;=2300,計算シート!$B$11&lt;4600),"○",""),"")</f>
        <v/>
      </c>
      <c r="H78" s="23" t="s">
        <v>80</v>
      </c>
      <c r="I78" s="64" t="str">
        <f t="shared" si="7"/>
        <v/>
      </c>
      <c r="J78" s="64">
        <f>ROUNDDOWN(計算シート!$B$11*0.8,0)</f>
        <v>0</v>
      </c>
      <c r="K78" s="64" t="str">
        <f>IF(AND(計算シート!$E$3='計算式あて（当初）'!C78,E78="○",G78="○",I78="○"),"☆","")</f>
        <v/>
      </c>
      <c r="L78" s="66" t="str">
        <f>IF(AND(計算シート!$E$5='計算式あて（当初）'!C78,E78="○",G78="○",I78="○"),"◇","")</f>
        <v/>
      </c>
    </row>
    <row r="79" spans="1:12">
      <c r="A79" s="25"/>
      <c r="B79" s="25"/>
      <c r="C79" s="24">
        <v>41852</v>
      </c>
      <c r="D79" s="23" t="s">
        <v>69</v>
      </c>
      <c r="E79" s="64" t="str">
        <f>IFERROR(IF(D79=計算シート!$B$7,"○",""),"")</f>
        <v/>
      </c>
      <c r="F79" s="23" t="s">
        <v>540</v>
      </c>
      <c r="G79" s="64" t="str">
        <f>IFERROR(IF(AND(計算シート!$B$11&gt;=4600,計算シート!$B$11&lt;=11650),"○",""),"")</f>
        <v/>
      </c>
      <c r="H79" s="23" t="s">
        <v>338</v>
      </c>
      <c r="I79" s="64" t="str">
        <f t="shared" si="7"/>
        <v/>
      </c>
      <c r="J79" s="64">
        <f>ROUNDDOWN(0.8*計算シート!$B$11-0.3*((計算シート!$B$11-4600)/(11650-4600))*計算シート!$B$11,0)</f>
        <v>0</v>
      </c>
      <c r="K79" s="64" t="str">
        <f>IF(AND(計算シート!$E$3='計算式あて（当初）'!C79,E79="○",G79="○",I79="○"),"☆","")</f>
        <v/>
      </c>
      <c r="L79" s="66" t="str">
        <f>IF(AND(計算シート!$E$5='計算式あて（当初）'!C79,E79="○",G79="○",I79="○"),"◇","")</f>
        <v/>
      </c>
    </row>
    <row r="80" spans="1:12">
      <c r="A80" s="25"/>
      <c r="B80" s="25"/>
      <c r="C80" s="24">
        <v>41852</v>
      </c>
      <c r="D80" s="23" t="s">
        <v>69</v>
      </c>
      <c r="E80" s="64" t="str">
        <f>IFERROR(IF(D80=計算シート!$B$7,"○",""),"")</f>
        <v/>
      </c>
      <c r="F80" s="23" t="s">
        <v>543</v>
      </c>
      <c r="G80" s="64" t="str">
        <f>IFERROR(IF(AND(計算シート!$B$11&gt;11650,計算シート!$B$11&lt;=15610),"○",""),"")</f>
        <v/>
      </c>
      <c r="H80" s="23" t="s">
        <v>82</v>
      </c>
      <c r="I80" s="64" t="str">
        <f t="shared" si="7"/>
        <v/>
      </c>
      <c r="J80" s="64">
        <f>ROUNDDOWN(計算シート!$B$11*0.5,0)</f>
        <v>0</v>
      </c>
      <c r="K80" s="64" t="str">
        <f>IF(AND(計算シート!$E$3='計算式あて（当初）'!C80,E80="○",G80="○",I80="○"),"☆","")</f>
        <v/>
      </c>
      <c r="L80" s="66" t="str">
        <f>IF(AND(計算シート!$E$5='計算式あて（当初）'!C80,E80="○",G80="○",I80="○"),"◇","")</f>
        <v/>
      </c>
    </row>
    <row r="81" spans="1:12">
      <c r="A81" s="25"/>
      <c r="B81" s="25"/>
      <c r="C81" s="24">
        <v>41852</v>
      </c>
      <c r="D81" s="23" t="s">
        <v>69</v>
      </c>
      <c r="E81" s="64" t="str">
        <f>IFERROR(IF(D81=計算シート!$B$7,"○",""),"")</f>
        <v/>
      </c>
      <c r="F81" s="23" t="s">
        <v>340</v>
      </c>
      <c r="G81" s="64" t="str">
        <f>IFERROR(IF(計算シート!$B$11&gt;15610,"○",""),"")</f>
        <v/>
      </c>
      <c r="H81" s="23" t="s">
        <v>346</v>
      </c>
      <c r="I81" s="64" t="str">
        <f t="shared" si="7"/>
        <v/>
      </c>
      <c r="J81" s="64">
        <v>7805</v>
      </c>
      <c r="K81" s="64" t="str">
        <f>IF(AND(計算シート!$E$3='計算式あて（当初）'!C81,E81="○",G81="○",I81="○"),"☆","")</f>
        <v/>
      </c>
      <c r="L81" s="66" t="str">
        <f>IF(AND(計算シート!$E$5='計算式あて（当初）'!C81,E81="○",G81="○",I81="○"),"◇","")</f>
        <v/>
      </c>
    </row>
    <row r="82" spans="1:12">
      <c r="A82" s="25"/>
      <c r="B82" s="25"/>
      <c r="C82" s="24">
        <v>41852</v>
      </c>
      <c r="D82" s="23" t="s">
        <v>70</v>
      </c>
      <c r="E82" s="64" t="str">
        <f>IFERROR(IF(D82=計算シート!$B$7,"○",""),"")</f>
        <v/>
      </c>
      <c r="F82" s="23" t="s">
        <v>325</v>
      </c>
      <c r="G82" s="64" t="str">
        <f>IFERROR(IF(AND(計算シート!$B$11&gt;=2300,計算シート!$B$11&lt;4600),"○",""),"")</f>
        <v/>
      </c>
      <c r="H82" s="23" t="s">
        <v>80</v>
      </c>
      <c r="I82" s="64" t="str">
        <f t="shared" si="7"/>
        <v/>
      </c>
      <c r="J82" s="64">
        <f>ROUNDDOWN(計算シート!$B$11*0.8,0)</f>
        <v>0</v>
      </c>
      <c r="K82" s="64" t="str">
        <f>IF(AND(計算シート!$E$3='計算式あて（当初）'!C82,E82="○",G82="○",I82="○"),"☆","")</f>
        <v/>
      </c>
      <c r="L82" s="66" t="str">
        <f>IF(AND(計算シート!$E$5='計算式あて（当初）'!C82,E82="○",G82="○",I82="○"),"◇","")</f>
        <v/>
      </c>
    </row>
    <row r="83" spans="1:12">
      <c r="A83" s="25"/>
      <c r="B83" s="25"/>
      <c r="C83" s="24">
        <v>41852</v>
      </c>
      <c r="D83" s="23" t="s">
        <v>70</v>
      </c>
      <c r="E83" s="64" t="str">
        <f>IFERROR(IF(D83=計算シート!$B$7,"○",""),"")</f>
        <v/>
      </c>
      <c r="F83" s="23" t="s">
        <v>544</v>
      </c>
      <c r="G83" s="64" t="str">
        <f>IFERROR(IF(AND(計算シート!$B$11&gt;=4600,計算シート!$B$11&lt;=10490),"○",""),"")</f>
        <v/>
      </c>
      <c r="H83" s="23" t="s">
        <v>341</v>
      </c>
      <c r="I83" s="64" t="str">
        <f>IFERROR(IF(J83&lt;J84,"○",""),"")</f>
        <v>○</v>
      </c>
      <c r="J83" s="64">
        <f>ROUNDDOWN(0.8*計算シート!$B$11-0.35*((計算シート!$B$11-4600)/(10490-4600))*計算シート!$B$11,0)</f>
        <v>0</v>
      </c>
      <c r="K83" s="64" t="str">
        <f>IF(AND(計算シート!$E$3='計算式あて（当初）'!C83,E83="○",G83="○",I83="○"),"☆","")</f>
        <v/>
      </c>
      <c r="L83" s="66" t="str">
        <f>IF(AND(計算シート!$E$5='計算式あて（当初）'!C83,E83="○",G83="○",I83="○"),"◇","")</f>
        <v/>
      </c>
    </row>
    <row r="84" spans="1:12">
      <c r="A84" s="25"/>
      <c r="B84" s="25"/>
      <c r="C84" s="24">
        <v>41852</v>
      </c>
      <c r="D84" s="23" t="s">
        <v>70</v>
      </c>
      <c r="E84" s="64" t="str">
        <f>IFERROR(IF(D84=計算シート!$B$7,"○",""),"")</f>
        <v/>
      </c>
      <c r="F84" s="23" t="s">
        <v>544</v>
      </c>
      <c r="G84" s="64" t="str">
        <f>IFERROR(IF(AND(計算シート!$B$11&gt;=4600,計算シート!$B$11&lt;=10490),"○",""),"")</f>
        <v/>
      </c>
      <c r="H84" s="23" t="s">
        <v>342</v>
      </c>
      <c r="I84" s="64" t="str">
        <f>IFERROR(IF(J84&lt;J83,"○",""),"")</f>
        <v/>
      </c>
      <c r="J84" s="64">
        <f>ROUNDDOWN(計算シート!$B$11*0.05+(10490*0.4),0)</f>
        <v>4196</v>
      </c>
      <c r="K84" s="64" t="str">
        <f>IF(AND(計算シート!$E$3='計算式あて（当初）'!C84,E84="○",G84="○",I84="○"),"☆","")</f>
        <v/>
      </c>
      <c r="L84" s="66" t="str">
        <f>IF(AND(計算シート!$E$5='計算式あて（当初）'!C84,E84="○",G84="○",I84="○"),"◇","")</f>
        <v/>
      </c>
    </row>
    <row r="85" spans="1:12">
      <c r="A85" s="25"/>
      <c r="B85" s="25"/>
      <c r="C85" s="24">
        <v>41852</v>
      </c>
      <c r="D85" s="23" t="s">
        <v>70</v>
      </c>
      <c r="E85" s="64" t="str">
        <f>IFERROR(IF(D85=計算シート!$B$7,"○",""),"")</f>
        <v/>
      </c>
      <c r="F85" s="23" t="s">
        <v>343</v>
      </c>
      <c r="G85" s="64" t="str">
        <f>IFERROR(IF(AND(計算シート!$B$11&gt;10490,計算シート!$B$11&lt;=14910),"○",""),"")</f>
        <v/>
      </c>
      <c r="H85" s="23" t="s">
        <v>84</v>
      </c>
      <c r="I85" s="64" t="str">
        <f t="shared" ref="I85:I86" si="8">G85</f>
        <v/>
      </c>
      <c r="J85" s="64">
        <f>ROUNDDOWN(計算シート!$B$11*0.45,0)</f>
        <v>0</v>
      </c>
      <c r="K85" s="64" t="str">
        <f>IF(AND(計算シート!$E$3='計算式あて（当初）'!C85,E85="○",G85="○",I85="○"),"☆","")</f>
        <v/>
      </c>
      <c r="L85" s="66" t="str">
        <f>IF(AND(計算シート!$E$5='計算式あて（当初）'!C85,E85="○",G85="○",I85="○"),"◇","")</f>
        <v/>
      </c>
    </row>
    <row r="86" spans="1:12">
      <c r="A86" s="27"/>
      <c r="B86" s="28"/>
      <c r="C86" s="24">
        <v>41852</v>
      </c>
      <c r="D86" s="23" t="s">
        <v>70</v>
      </c>
      <c r="E86" s="64" t="str">
        <f>IFERROR(IF(D86=計算シート!$B$7,"○",""),"")</f>
        <v/>
      </c>
      <c r="F86" s="23" t="s">
        <v>141</v>
      </c>
      <c r="G86" s="64" t="str">
        <f>IFERROR(IF(計算シート!$B$11&gt;14910,"○",""),"")</f>
        <v/>
      </c>
      <c r="H86" s="23" t="s">
        <v>347</v>
      </c>
      <c r="I86" s="64" t="str">
        <f t="shared" si="8"/>
        <v/>
      </c>
      <c r="J86" s="64">
        <v>6709</v>
      </c>
      <c r="K86" s="64" t="str">
        <f>IF(AND(計算シート!$E$3='計算式あて（当初）'!C86,E86="○",G86="○",I86="○"),"☆","")</f>
        <v/>
      </c>
      <c r="L86" s="66" t="str">
        <f>IF(AND(計算シート!$E$5='計算式あて（当初）'!C86,E86="○",G86="○",I86="○"),"◇","")</f>
        <v/>
      </c>
    </row>
    <row r="87" spans="1:12" ht="27">
      <c r="A87" s="25"/>
      <c r="B87" s="26" t="s">
        <v>427</v>
      </c>
      <c r="C87" s="24">
        <v>41487</v>
      </c>
      <c r="D87" s="23" t="s">
        <v>67</v>
      </c>
      <c r="E87" s="64" t="str">
        <f>IFERROR(IF(D87=計算シート!$B$7,"○",""),"")</f>
        <v/>
      </c>
      <c r="F87" s="23" t="s">
        <v>177</v>
      </c>
      <c r="G87" s="64" t="str">
        <f>IFERROR(IF(AND(計算シート!$B$11&gt;=2310,計算シート!$B$11&lt;4610),"○",""),"")</f>
        <v/>
      </c>
      <c r="H87" s="23" t="s">
        <v>80</v>
      </c>
      <c r="I87" s="64" t="str">
        <f>G87</f>
        <v/>
      </c>
      <c r="J87" s="64">
        <f>ROUNDDOWN(計算シート!$B$11*0.8,0)</f>
        <v>0</v>
      </c>
      <c r="K87" s="64" t="str">
        <f>IF(AND(計算シート!$E$3='計算式あて（当初）'!C87,E87="○",G87="○",I87="○"),"☆","")</f>
        <v/>
      </c>
      <c r="L87" s="66" t="str">
        <f>IF(AND(計算シート!$E$5='計算式あて（当初）'!C87,E87="○",G87="○",I87="○"),"◇","")</f>
        <v/>
      </c>
    </row>
    <row r="88" spans="1:12">
      <c r="A88" s="25"/>
      <c r="B88" s="25"/>
      <c r="C88" s="24">
        <v>41487</v>
      </c>
      <c r="D88" s="23" t="s">
        <v>67</v>
      </c>
      <c r="E88" s="64" t="str">
        <f>IFERROR(IF(D88=計算シート!$B$7,"○",""),"")</f>
        <v/>
      </c>
      <c r="F88" s="23" t="s">
        <v>545</v>
      </c>
      <c r="G88" s="64" t="str">
        <f>IFERROR(IF(AND(計算シート!$B$11&gt;=4610,計算シート!$B$11&lt;=11680),"○",""),"")</f>
        <v/>
      </c>
      <c r="H88" s="23" t="s">
        <v>349</v>
      </c>
      <c r="I88" s="64" t="str">
        <f t="shared" ref="I88:I99" si="9">G88</f>
        <v/>
      </c>
      <c r="J88" s="64">
        <f>ROUNDDOWN(0.8*計算シート!$B$11-0.3*((計算シート!$B$11-4610)/(11680-4610))*計算シート!$B$11,0)</f>
        <v>0</v>
      </c>
      <c r="K88" s="64" t="str">
        <f>IF(AND(計算シート!$E$3='計算式あて（当初）'!C88,E88="○",G88="○",I88="○"),"☆","")</f>
        <v/>
      </c>
      <c r="L88" s="66" t="str">
        <f>IF(AND(計算シート!$E$5='計算式あて（当初）'!C88,E88="○",G88="○",I88="○"),"◇","")</f>
        <v/>
      </c>
    </row>
    <row r="89" spans="1:12">
      <c r="A89" s="25"/>
      <c r="B89" s="25"/>
      <c r="C89" s="24">
        <v>41487</v>
      </c>
      <c r="D89" s="23" t="s">
        <v>67</v>
      </c>
      <c r="E89" s="64" t="str">
        <f>IFERROR(IF(D89=計算シート!$B$7,"○",""),"")</f>
        <v/>
      </c>
      <c r="F89" s="23" t="s">
        <v>546</v>
      </c>
      <c r="G89" s="64" t="str">
        <f>IFERROR(IF(AND(計算シート!$B$11&gt;11680,計算シート!$B$11&lt;=12810),"○",""),"")</f>
        <v/>
      </c>
      <c r="H89" s="23" t="s">
        <v>82</v>
      </c>
      <c r="I89" s="64" t="str">
        <f t="shared" si="9"/>
        <v/>
      </c>
      <c r="J89" s="64">
        <f>ROUNDDOWN(計算シート!$B$11*0.5,0)</f>
        <v>0</v>
      </c>
      <c r="K89" s="64" t="str">
        <f>IF(AND(計算シート!$E$3='計算式あて（当初）'!C89,E89="○",G89="○",I89="○"),"☆","")</f>
        <v/>
      </c>
      <c r="L89" s="66" t="str">
        <f>IF(AND(計算シート!$E$5='計算式あて（当初）'!C89,E89="○",G89="○",I89="○"),"◇","")</f>
        <v/>
      </c>
    </row>
    <row r="90" spans="1:12">
      <c r="A90" s="25"/>
      <c r="B90" s="25"/>
      <c r="C90" s="24">
        <v>41487</v>
      </c>
      <c r="D90" s="23" t="s">
        <v>67</v>
      </c>
      <c r="E90" s="64" t="str">
        <f>IFERROR(IF(D90=計算シート!$B$7,"○",""),"")</f>
        <v/>
      </c>
      <c r="F90" s="23" t="s">
        <v>185</v>
      </c>
      <c r="G90" s="64" t="str">
        <f>IFERROR(IF(計算シート!$B$11&gt;12810,"○",""),"")</f>
        <v/>
      </c>
      <c r="H90" s="23" t="s">
        <v>189</v>
      </c>
      <c r="I90" s="64" t="str">
        <f t="shared" si="9"/>
        <v/>
      </c>
      <c r="J90" s="64">
        <v>6405</v>
      </c>
      <c r="K90" s="64" t="str">
        <f>IF(AND(計算シート!$E$3='計算式あて（当初）'!C90,E90="○",G90="○",I90="○"),"☆","")</f>
        <v/>
      </c>
      <c r="L90" s="66" t="str">
        <f>IF(AND(計算シート!$E$5='計算式あて（当初）'!C90,E90="○",G90="○",I90="○"),"◇","")</f>
        <v/>
      </c>
    </row>
    <row r="91" spans="1:12">
      <c r="A91" s="25"/>
      <c r="B91" s="25"/>
      <c r="C91" s="24">
        <v>41487</v>
      </c>
      <c r="D91" s="23" t="s">
        <v>68</v>
      </c>
      <c r="E91" s="64" t="str">
        <f>IFERROR(IF(D91=計算シート!$B$7,"○",""),"")</f>
        <v/>
      </c>
      <c r="F91" s="23" t="s">
        <v>177</v>
      </c>
      <c r="G91" s="64" t="str">
        <f>IFERROR(IF(AND(計算シート!$B$11&gt;=2310,計算シート!$B$11&lt;4610),"○",""),"")</f>
        <v/>
      </c>
      <c r="H91" s="23" t="s">
        <v>80</v>
      </c>
      <c r="I91" s="64" t="str">
        <f t="shared" si="9"/>
        <v/>
      </c>
      <c r="J91" s="64">
        <f>ROUNDDOWN(計算シート!$B$11*0.8,0)</f>
        <v>0</v>
      </c>
      <c r="K91" s="64" t="str">
        <f>IF(AND(計算シート!$E$3='計算式あて（当初）'!C91,E91="○",G91="○",I91="○"),"☆","")</f>
        <v/>
      </c>
      <c r="L91" s="66" t="str">
        <f>IF(AND(計算シート!$E$5='計算式あて（当初）'!C91,E91="○",G91="○",I91="○"),"◇","")</f>
        <v/>
      </c>
    </row>
    <row r="92" spans="1:12">
      <c r="A92" s="25"/>
      <c r="B92" s="25"/>
      <c r="C92" s="24">
        <v>41487</v>
      </c>
      <c r="D92" s="23" t="s">
        <v>68</v>
      </c>
      <c r="E92" s="64" t="str">
        <f>IFERROR(IF(D92=計算シート!$B$7,"○",""),"")</f>
        <v/>
      </c>
      <c r="F92" s="23" t="s">
        <v>545</v>
      </c>
      <c r="G92" s="64" t="str">
        <f>IFERROR(IF(AND(計算シート!$B$11&gt;=4610,計算シート!$B$11&lt;=11680),"○",""),"")</f>
        <v/>
      </c>
      <c r="H92" s="23" t="s">
        <v>349</v>
      </c>
      <c r="I92" s="64" t="str">
        <f t="shared" si="9"/>
        <v/>
      </c>
      <c r="J92" s="64">
        <f>ROUNDDOWN(0.8*計算シート!$B$11-0.3*((計算シート!$B$11-4610)/(11680-4610))*計算シート!$B$11,0)</f>
        <v>0</v>
      </c>
      <c r="K92" s="64" t="str">
        <f>IF(AND(計算シート!$E$3='計算式あて（当初）'!C92,E92="○",G92="○",I92="○"),"☆","")</f>
        <v/>
      </c>
      <c r="L92" s="66" t="str">
        <f>IF(AND(計算シート!$E$5='計算式あて（当初）'!C92,E92="○",G92="○",I92="○"),"◇","")</f>
        <v/>
      </c>
    </row>
    <row r="93" spans="1:12">
      <c r="A93" s="25"/>
      <c r="B93" s="25"/>
      <c r="C93" s="24">
        <v>41487</v>
      </c>
      <c r="D93" s="23" t="s">
        <v>68</v>
      </c>
      <c r="E93" s="64" t="str">
        <f>IFERROR(IF(D93=計算シート!$B$7,"○",""),"")</f>
        <v/>
      </c>
      <c r="F93" s="23" t="s">
        <v>547</v>
      </c>
      <c r="G93" s="64" t="str">
        <f>IFERROR(IF(AND(計算シート!$B$11&gt;11680,計算シート!$B$11&lt;=14230),"○",""),"")</f>
        <v/>
      </c>
      <c r="H93" s="23" t="s">
        <v>82</v>
      </c>
      <c r="I93" s="64" t="str">
        <f t="shared" si="9"/>
        <v/>
      </c>
      <c r="J93" s="64">
        <f>ROUNDDOWN(計算シート!$B$11*0.5,0)</f>
        <v>0</v>
      </c>
      <c r="K93" s="64" t="str">
        <f>IF(AND(計算シート!$E$3='計算式あて（当初）'!C93,E93="○",G93="○",I93="○"),"☆","")</f>
        <v/>
      </c>
      <c r="L93" s="66" t="str">
        <f>IF(AND(計算シート!$E$5='計算式あて（当初）'!C93,E93="○",G93="○",I93="○"),"◇","")</f>
        <v/>
      </c>
    </row>
    <row r="94" spans="1:12">
      <c r="A94" s="25"/>
      <c r="B94" s="25"/>
      <c r="C94" s="24">
        <v>41487</v>
      </c>
      <c r="D94" s="23" t="s">
        <v>68</v>
      </c>
      <c r="E94" s="64" t="str">
        <f>IFERROR(IF(D94=計算シート!$B$7,"○",""),"")</f>
        <v/>
      </c>
      <c r="F94" s="23" t="s">
        <v>190</v>
      </c>
      <c r="G94" s="64" t="str">
        <f>IFERROR(IF(計算シート!$B$11&gt;14230,"○",""),"")</f>
        <v/>
      </c>
      <c r="H94" s="23" t="s">
        <v>193</v>
      </c>
      <c r="I94" s="64" t="str">
        <f t="shared" si="9"/>
        <v/>
      </c>
      <c r="J94" s="64">
        <v>7115</v>
      </c>
      <c r="K94" s="64" t="str">
        <f>IF(AND(計算シート!$E$3='計算式あて（当初）'!C94,E94="○",G94="○",I94="○"),"☆","")</f>
        <v/>
      </c>
      <c r="L94" s="66" t="str">
        <f>IF(AND(計算シート!$E$5='計算式あて（当初）'!C94,E94="○",G94="○",I94="○"),"◇","")</f>
        <v/>
      </c>
    </row>
    <row r="95" spans="1:12">
      <c r="A95" s="25"/>
      <c r="B95" s="25"/>
      <c r="C95" s="24">
        <v>41487</v>
      </c>
      <c r="D95" s="23" t="s">
        <v>69</v>
      </c>
      <c r="E95" s="64" t="str">
        <f>IFERROR(IF(D95=計算シート!$B$7,"○",""),"")</f>
        <v/>
      </c>
      <c r="F95" s="23" t="s">
        <v>177</v>
      </c>
      <c r="G95" s="64" t="str">
        <f>IFERROR(IF(AND(計算シート!$B$11&gt;=2310,計算シート!$B$11&lt;4610),"○",""),"")</f>
        <v/>
      </c>
      <c r="H95" s="23" t="s">
        <v>80</v>
      </c>
      <c r="I95" s="64" t="str">
        <f t="shared" si="9"/>
        <v/>
      </c>
      <c r="J95" s="64">
        <f>ROUNDDOWN(計算シート!$B$11*0.8,0)</f>
        <v>0</v>
      </c>
      <c r="K95" s="64" t="str">
        <f>IF(AND(計算シート!$E$3='計算式あて（当初）'!C95,E95="○",G95="○",I95="○"),"☆","")</f>
        <v/>
      </c>
      <c r="L95" s="66" t="str">
        <f>IF(AND(計算シート!$E$5='計算式あて（当初）'!C95,E95="○",G95="○",I95="○"),"◇","")</f>
        <v/>
      </c>
    </row>
    <row r="96" spans="1:12">
      <c r="A96" s="25"/>
      <c r="B96" s="25"/>
      <c r="C96" s="24">
        <v>41487</v>
      </c>
      <c r="D96" s="23" t="s">
        <v>69</v>
      </c>
      <c r="E96" s="64" t="str">
        <f>IFERROR(IF(D96=計算シート!$B$7,"○",""),"")</f>
        <v/>
      </c>
      <c r="F96" s="23" t="s">
        <v>548</v>
      </c>
      <c r="G96" s="64" t="str">
        <f>IFERROR(IF(AND(計算シート!$B$11&gt;=4610,計算シート!$B$11&lt;=11680),"○",""),"")</f>
        <v/>
      </c>
      <c r="H96" s="23" t="s">
        <v>349</v>
      </c>
      <c r="I96" s="64" t="str">
        <f t="shared" si="9"/>
        <v/>
      </c>
      <c r="J96" s="64">
        <f>ROUNDDOWN(0.8*計算シート!$B$11-0.3*((計算シート!$B$11-4610)/(11680-4610))*計算シート!$B$11,0)</f>
        <v>0</v>
      </c>
      <c r="K96" s="64" t="str">
        <f>IF(AND(計算シート!$E$3='計算式あて（当初）'!C96,E96="○",G96="○",I96="○"),"☆","")</f>
        <v/>
      </c>
      <c r="L96" s="66" t="str">
        <f>IF(AND(計算シート!$E$5='計算式あて（当初）'!C96,E96="○",G96="○",I96="○"),"◇","")</f>
        <v/>
      </c>
    </row>
    <row r="97" spans="1:12">
      <c r="A97" s="25"/>
      <c r="B97" s="25"/>
      <c r="C97" s="24">
        <v>41487</v>
      </c>
      <c r="D97" s="23" t="s">
        <v>69</v>
      </c>
      <c r="E97" s="64" t="str">
        <f>IFERROR(IF(D97=計算シート!$B$7,"○",""),"")</f>
        <v/>
      </c>
      <c r="F97" s="23" t="s">
        <v>549</v>
      </c>
      <c r="G97" s="64" t="str">
        <f>IFERROR(IF(AND(計算シート!$B$11&gt;11680,計算シート!$B$11&lt;=15660),"○",""),"")</f>
        <v/>
      </c>
      <c r="H97" s="23" t="s">
        <v>82</v>
      </c>
      <c r="I97" s="64" t="str">
        <f t="shared" si="9"/>
        <v/>
      </c>
      <c r="J97" s="64">
        <f>ROUNDDOWN(計算シート!$B$11*0.5,0)</f>
        <v>0</v>
      </c>
      <c r="K97" s="64" t="str">
        <f>IF(AND(計算シート!$E$3='計算式あて（当初）'!C97,E97="○",G97="○",I97="○"),"☆","")</f>
        <v/>
      </c>
      <c r="L97" s="66" t="str">
        <f>IF(AND(計算シート!$E$5='計算式あて（当初）'!C97,E97="○",G97="○",I97="○"),"◇","")</f>
        <v/>
      </c>
    </row>
    <row r="98" spans="1:12">
      <c r="A98" s="25"/>
      <c r="B98" s="25"/>
      <c r="C98" s="24">
        <v>41487</v>
      </c>
      <c r="D98" s="23" t="s">
        <v>69</v>
      </c>
      <c r="E98" s="64" t="str">
        <f>IFERROR(IF(D98=計算シート!$B$7,"○",""),"")</f>
        <v/>
      </c>
      <c r="F98" s="23" t="s">
        <v>167</v>
      </c>
      <c r="G98" s="64" t="str">
        <f>IFERROR(IF(計算シート!$B$11&gt;15660,"○",""),"")</f>
        <v/>
      </c>
      <c r="H98" s="23" t="s">
        <v>174</v>
      </c>
      <c r="I98" s="64" t="str">
        <f t="shared" si="9"/>
        <v/>
      </c>
      <c r="J98" s="64">
        <v>7830</v>
      </c>
      <c r="K98" s="64" t="str">
        <f>IF(AND(計算シート!$E$3='計算式あて（当初）'!C98,E98="○",G98="○",I98="○"),"☆","")</f>
        <v/>
      </c>
      <c r="L98" s="66" t="str">
        <f>IF(AND(計算シート!$E$5='計算式あて（当初）'!C98,E98="○",G98="○",I98="○"),"◇","")</f>
        <v/>
      </c>
    </row>
    <row r="99" spans="1:12">
      <c r="A99" s="25"/>
      <c r="B99" s="25"/>
      <c r="C99" s="24">
        <v>41487</v>
      </c>
      <c r="D99" s="23" t="s">
        <v>70</v>
      </c>
      <c r="E99" s="64" t="str">
        <f>IFERROR(IF(D99=計算シート!$B$7,"○",""),"")</f>
        <v/>
      </c>
      <c r="F99" s="23" t="s">
        <v>177</v>
      </c>
      <c r="G99" s="64" t="str">
        <f>IFERROR(IF(AND(計算シート!$B$11&gt;=2310,計算シート!$B$11&lt;4610),"○",""),"")</f>
        <v/>
      </c>
      <c r="H99" s="23" t="s">
        <v>80</v>
      </c>
      <c r="I99" s="64" t="str">
        <f t="shared" si="9"/>
        <v/>
      </c>
      <c r="J99" s="64">
        <f>ROUNDDOWN(計算シート!$B$11*0.8,0)</f>
        <v>0</v>
      </c>
      <c r="K99" s="64" t="str">
        <f>IF(AND(計算シート!$E$3='計算式あて（当初）'!C99,E99="○",G99="○",I99="○"),"☆","")</f>
        <v/>
      </c>
      <c r="L99" s="66" t="str">
        <f>IF(AND(計算シート!$E$5='計算式あて（当初）'!C99,E99="○",G99="○",I99="○"),"◇","")</f>
        <v/>
      </c>
    </row>
    <row r="100" spans="1:12">
      <c r="A100" s="25"/>
      <c r="B100" s="25"/>
      <c r="C100" s="24">
        <v>41487</v>
      </c>
      <c r="D100" s="23" t="s">
        <v>70</v>
      </c>
      <c r="E100" s="64" t="str">
        <f>IFERROR(IF(D100=計算シート!$B$7,"○",""),"")</f>
        <v/>
      </c>
      <c r="F100" s="23" t="s">
        <v>550</v>
      </c>
      <c r="G100" s="64" t="str">
        <f>IFERROR(IF(AND(計算シート!$B$11&gt;=4610,計算シート!$B$11&lt;=10510),"○",""),"")</f>
        <v/>
      </c>
      <c r="H100" s="23" t="s">
        <v>181</v>
      </c>
      <c r="I100" s="64" t="str">
        <f>IFERROR(IF(J100&lt;J101,"○",""),"")</f>
        <v>○</v>
      </c>
      <c r="J100" s="64">
        <f>ROUNDDOWN(0.8*計算シート!$B$11-0.35*((計算シート!$B$11-4610)/(10510-4610))*計算シート!$B$11,0)</f>
        <v>0</v>
      </c>
      <c r="K100" s="64" t="str">
        <f>IF(AND(計算シート!$E$3='計算式あて（当初）'!C100,E100="○",G100="○",I100="○"),"☆","")</f>
        <v/>
      </c>
      <c r="L100" s="66" t="str">
        <f>IF(AND(計算シート!$E$5='計算式あて（当初）'!C100,E100="○",G100="○",I100="○"),"◇","")</f>
        <v/>
      </c>
    </row>
    <row r="101" spans="1:12">
      <c r="A101" s="25"/>
      <c r="B101" s="25"/>
      <c r="C101" s="24">
        <v>41487</v>
      </c>
      <c r="D101" s="23" t="s">
        <v>70</v>
      </c>
      <c r="E101" s="64" t="str">
        <f>IFERROR(IF(D101=計算シート!$B$7,"○",""),"")</f>
        <v/>
      </c>
      <c r="F101" s="23" t="s">
        <v>550</v>
      </c>
      <c r="G101" s="64" t="str">
        <f>IFERROR(IF(AND(計算シート!$B$11&gt;=4610,計算シート!$B$11&lt;=10510),"○",""),"")</f>
        <v/>
      </c>
      <c r="H101" s="23" t="s">
        <v>182</v>
      </c>
      <c r="I101" s="64" t="str">
        <f>IFERROR(IF(J101&lt;J100,"○",""),"")</f>
        <v/>
      </c>
      <c r="J101" s="64">
        <f>ROUNDDOWN(計算シート!$B$11*0.05+(10510*0.4),0)</f>
        <v>4204</v>
      </c>
      <c r="K101" s="64" t="str">
        <f>IF(AND(計算シート!$E$3='計算式あて（当初）'!C101,E101="○",G101="○",I101="○"),"☆","")</f>
        <v/>
      </c>
      <c r="L101" s="66" t="str">
        <f>IF(AND(計算シート!$E$5='計算式あて（当初）'!C101,E101="○",G101="○",I101="○"),"◇","")</f>
        <v/>
      </c>
    </row>
    <row r="102" spans="1:12">
      <c r="A102" s="25"/>
      <c r="B102" s="25"/>
      <c r="C102" s="24">
        <v>41487</v>
      </c>
      <c r="D102" s="23" t="s">
        <v>70</v>
      </c>
      <c r="E102" s="64" t="str">
        <f>IFERROR(IF(D102=計算シート!$B$7,"○",""),"")</f>
        <v/>
      </c>
      <c r="F102" s="23" t="s">
        <v>183</v>
      </c>
      <c r="G102" s="64" t="str">
        <f>IFERROR(IF(AND(計算シート!$B$11&gt;10510,計算シート!$B$11&lt;=14940),"○",""),"")</f>
        <v/>
      </c>
      <c r="H102" s="23" t="s">
        <v>84</v>
      </c>
      <c r="I102" s="64" t="str">
        <f t="shared" ref="I102:I103" si="10">G102</f>
        <v/>
      </c>
      <c r="J102" s="64">
        <f>ROUNDDOWN(計算シート!$B$11*0.45,0)</f>
        <v>0</v>
      </c>
      <c r="K102" s="64" t="str">
        <f>IF(AND(計算シート!$E$3='計算式あて（当初）'!C102,E102="○",G102="○",I102="○"),"☆","")</f>
        <v/>
      </c>
      <c r="L102" s="66" t="str">
        <f>IF(AND(計算シート!$E$5='計算式あて（当初）'!C102,E102="○",G102="○",I102="○"),"◇","")</f>
        <v/>
      </c>
    </row>
    <row r="103" spans="1:12">
      <c r="A103" s="27"/>
      <c r="B103" s="28"/>
      <c r="C103" s="24">
        <v>41487</v>
      </c>
      <c r="D103" s="23" t="s">
        <v>70</v>
      </c>
      <c r="E103" s="64" t="str">
        <f>IFERROR(IF(D103=計算シート!$B$7,"○",""),"")</f>
        <v/>
      </c>
      <c r="F103" s="23" t="s">
        <v>184</v>
      </c>
      <c r="G103" s="64" t="str">
        <f>IFERROR(IF(計算シート!$B$11&gt;14940,"○",""),"")</f>
        <v/>
      </c>
      <c r="H103" s="23" t="s">
        <v>188</v>
      </c>
      <c r="I103" s="64" t="str">
        <f t="shared" si="10"/>
        <v/>
      </c>
      <c r="J103" s="64">
        <v>6723</v>
      </c>
      <c r="K103" s="64" t="str">
        <f>IF(AND(計算シート!$E$3='計算式あて（当初）'!C103,E103="○",G103="○",I103="○"),"☆","")</f>
        <v/>
      </c>
      <c r="L103" s="66" t="str">
        <f>IF(AND(計算シート!$E$5='計算式あて（当初）'!C103,E103="○",G103="○",I103="○"),"◇","")</f>
        <v/>
      </c>
    </row>
    <row r="104" spans="1:12" ht="27">
      <c r="A104" s="25"/>
      <c r="B104" s="26" t="s">
        <v>428</v>
      </c>
      <c r="C104" s="24">
        <v>41122</v>
      </c>
      <c r="D104" s="23" t="s">
        <v>67</v>
      </c>
      <c r="E104" s="64" t="str">
        <f>IFERROR(IF(D104=計算シート!$B$7,"○",""),"")</f>
        <v/>
      </c>
      <c r="F104" s="23" t="s">
        <v>196</v>
      </c>
      <c r="G104" s="64" t="str">
        <f>IFERROR(IF(AND(計算シート!$B$11&gt;=2320,計算シート!$B$11&lt;4640),"○",""),"")</f>
        <v/>
      </c>
      <c r="H104" s="23" t="s">
        <v>80</v>
      </c>
      <c r="I104" s="64" t="str">
        <f>G104</f>
        <v/>
      </c>
      <c r="J104" s="64">
        <f>ROUNDDOWN(計算シート!$B$11*0.8,0)</f>
        <v>0</v>
      </c>
      <c r="K104" s="64" t="str">
        <f>IF(AND(計算シート!$E$3='計算式あて（当初）'!C104,E104="○",G104="○",I104="○"),"☆","")</f>
        <v/>
      </c>
      <c r="L104" s="66" t="str">
        <f>IF(AND(計算シート!$E$5='計算式あて（当初）'!C104,E104="○",G104="○",I104="○"),"◇","")</f>
        <v/>
      </c>
    </row>
    <row r="105" spans="1:12">
      <c r="A105" s="25"/>
      <c r="B105" s="25"/>
      <c r="C105" s="24">
        <v>41122</v>
      </c>
      <c r="D105" s="23" t="s">
        <v>67</v>
      </c>
      <c r="E105" s="64" t="str">
        <f>IFERROR(IF(D105=計算シート!$B$7,"○",""),"")</f>
        <v/>
      </c>
      <c r="F105" s="23" t="s">
        <v>551</v>
      </c>
      <c r="G105" s="64" t="str">
        <f>IFERROR(IF(AND(計算シート!$B$11&gt;=4640,計算シート!$B$11&lt;=11740),"○",""),"")</f>
        <v/>
      </c>
      <c r="H105" s="23" t="s">
        <v>350</v>
      </c>
      <c r="I105" s="64" t="str">
        <f t="shared" ref="I105:I116" si="11">G105</f>
        <v/>
      </c>
      <c r="J105" s="64">
        <f>ROUNDDOWN(0.8*計算シート!$B$11-0.3*((計算シート!$B$11-4640)/(11740-4640))*計算シート!$B$11,0)</f>
        <v>0</v>
      </c>
      <c r="K105" s="64" t="str">
        <f>IF(AND(計算シート!$E$3='計算式あて（当初）'!C105,E105="○",G105="○",I105="○"),"☆","")</f>
        <v/>
      </c>
      <c r="L105" s="66" t="str">
        <f>IF(AND(計算シート!$E$5='計算式あて（当初）'!C105,E105="○",G105="○",I105="○"),"◇","")</f>
        <v/>
      </c>
    </row>
    <row r="106" spans="1:12">
      <c r="A106" s="25"/>
      <c r="B106" s="25"/>
      <c r="C106" s="24">
        <v>41122</v>
      </c>
      <c r="D106" s="23" t="s">
        <v>67</v>
      </c>
      <c r="E106" s="64" t="str">
        <f>IFERROR(IF(D106=計算シート!$B$7,"○",""),"")</f>
        <v/>
      </c>
      <c r="F106" s="23" t="s">
        <v>552</v>
      </c>
      <c r="G106" s="64" t="str">
        <f>IFERROR(IF(AND(計算シート!$B$11&gt;11740,計算シート!$B$11&lt;=12880),"○",""),"")</f>
        <v/>
      </c>
      <c r="H106" s="23" t="s">
        <v>82</v>
      </c>
      <c r="I106" s="64" t="str">
        <f t="shared" si="11"/>
        <v/>
      </c>
      <c r="J106" s="64">
        <f>ROUNDDOWN(計算シート!$B$11*0.5,0)</f>
        <v>0</v>
      </c>
      <c r="K106" s="64" t="str">
        <f>IF(AND(計算シート!$E$3='計算式あて（当初）'!C106,E106="○",G106="○",I106="○"),"☆","")</f>
        <v/>
      </c>
      <c r="L106" s="66" t="str">
        <f>IF(AND(計算シート!$E$5='計算式あて（当初）'!C106,E106="○",G106="○",I106="○"),"◇","")</f>
        <v/>
      </c>
    </row>
    <row r="107" spans="1:12">
      <c r="A107" s="25"/>
      <c r="B107" s="25"/>
      <c r="C107" s="24">
        <v>41122</v>
      </c>
      <c r="D107" s="23" t="s">
        <v>67</v>
      </c>
      <c r="E107" s="64" t="str">
        <f>IFERROR(IF(D107=計算シート!$B$7,"○",""),"")</f>
        <v/>
      </c>
      <c r="F107" s="23" t="s">
        <v>215</v>
      </c>
      <c r="G107" s="64" t="str">
        <f>IFERROR(IF(計算シート!$B$11&gt;12880,"○",""),"")</f>
        <v/>
      </c>
      <c r="H107" s="23" t="s">
        <v>206</v>
      </c>
      <c r="I107" s="64" t="str">
        <f t="shared" si="11"/>
        <v/>
      </c>
      <c r="J107" s="64">
        <v>6440</v>
      </c>
      <c r="K107" s="64" t="str">
        <f>IF(AND(計算シート!$E$3='計算式あて（当初）'!C107,E107="○",G107="○",I107="○"),"☆","")</f>
        <v/>
      </c>
      <c r="L107" s="66" t="str">
        <f>IF(AND(計算シート!$E$5='計算式あて（当初）'!C107,E107="○",G107="○",I107="○"),"◇","")</f>
        <v/>
      </c>
    </row>
    <row r="108" spans="1:12">
      <c r="A108" s="25"/>
      <c r="B108" s="25"/>
      <c r="C108" s="24">
        <v>41122</v>
      </c>
      <c r="D108" s="23" t="s">
        <v>68</v>
      </c>
      <c r="E108" s="64" t="str">
        <f>IFERROR(IF(D108=計算シート!$B$7,"○",""),"")</f>
        <v/>
      </c>
      <c r="F108" s="23" t="s">
        <v>196</v>
      </c>
      <c r="G108" s="64" t="str">
        <f>IFERROR(IF(AND(計算シート!$B$11&gt;=2320,計算シート!$B$11&lt;4640),"○",""),"")</f>
        <v/>
      </c>
      <c r="H108" s="23" t="s">
        <v>80</v>
      </c>
      <c r="I108" s="64" t="str">
        <f t="shared" si="11"/>
        <v/>
      </c>
      <c r="J108" s="64">
        <f>ROUNDDOWN(計算シート!$B$11*0.8,0)</f>
        <v>0</v>
      </c>
      <c r="K108" s="64" t="str">
        <f>IF(AND(計算シート!$E$3='計算式あて（当初）'!C108,E108="○",G108="○",I108="○"),"☆","")</f>
        <v/>
      </c>
      <c r="L108" s="66" t="str">
        <f>IF(AND(計算シート!$E$5='計算式あて（当初）'!C108,E108="○",G108="○",I108="○"),"◇","")</f>
        <v/>
      </c>
    </row>
    <row r="109" spans="1:12">
      <c r="A109" s="25"/>
      <c r="B109" s="25"/>
      <c r="C109" s="24">
        <v>41122</v>
      </c>
      <c r="D109" s="23" t="s">
        <v>68</v>
      </c>
      <c r="E109" s="64" t="str">
        <f>IFERROR(IF(D109=計算シート!$B$7,"○",""),"")</f>
        <v/>
      </c>
      <c r="F109" s="23" t="s">
        <v>551</v>
      </c>
      <c r="G109" s="64" t="str">
        <f>IFERROR(IF(AND(計算シート!$B$11&gt;=4640,計算シート!$B$11&lt;=11740),"○",""),"")</f>
        <v/>
      </c>
      <c r="H109" s="23" t="s">
        <v>350</v>
      </c>
      <c r="I109" s="64" t="str">
        <f t="shared" si="11"/>
        <v/>
      </c>
      <c r="J109" s="64">
        <f>ROUNDDOWN(0.8*計算シート!$B$11-0.3*((計算シート!$B$11-4640)/(11740-4640))*計算シート!$B$11,0)</f>
        <v>0</v>
      </c>
      <c r="K109" s="64" t="str">
        <f>IF(AND(計算シート!$E$3='計算式あて（当初）'!C109,E109="○",G109="○",I109="○"),"☆","")</f>
        <v/>
      </c>
      <c r="L109" s="66" t="str">
        <f>IF(AND(計算シート!$E$5='計算式あて（当初）'!C109,E109="○",G109="○",I109="○"),"◇","")</f>
        <v/>
      </c>
    </row>
    <row r="110" spans="1:12">
      <c r="A110" s="25"/>
      <c r="B110" s="25"/>
      <c r="C110" s="24">
        <v>41122</v>
      </c>
      <c r="D110" s="23" t="s">
        <v>68</v>
      </c>
      <c r="E110" s="64" t="str">
        <f>IFERROR(IF(D110=計算シート!$B$7,"○",""),"")</f>
        <v/>
      </c>
      <c r="F110" s="23" t="s">
        <v>553</v>
      </c>
      <c r="G110" s="64" t="str">
        <f>IFERROR(IF(AND(計算シート!$B$11&gt;11740,計算シート!$B$11&lt;=14310),"○",""),"")</f>
        <v/>
      </c>
      <c r="H110" s="23" t="s">
        <v>82</v>
      </c>
      <c r="I110" s="64" t="str">
        <f t="shared" si="11"/>
        <v/>
      </c>
      <c r="J110" s="64">
        <f>ROUNDDOWN(計算シート!$B$11*0.5,0)</f>
        <v>0</v>
      </c>
      <c r="K110" s="64" t="str">
        <f>IF(AND(計算シート!$E$3='計算式あて（当初）'!C110,E110="○",G110="○",I110="○"),"☆","")</f>
        <v/>
      </c>
      <c r="L110" s="66" t="str">
        <f>IF(AND(計算シート!$E$5='計算式あて（当初）'!C110,E110="○",G110="○",I110="○"),"◇","")</f>
        <v/>
      </c>
    </row>
    <row r="111" spans="1:12">
      <c r="A111" s="25"/>
      <c r="B111" s="25"/>
      <c r="C111" s="24">
        <v>41122</v>
      </c>
      <c r="D111" s="23" t="s">
        <v>68</v>
      </c>
      <c r="E111" s="64" t="str">
        <f>IFERROR(IF(D111=計算シート!$B$7,"○",""),"")</f>
        <v/>
      </c>
      <c r="F111" s="23" t="s">
        <v>198</v>
      </c>
      <c r="G111" s="64" t="str">
        <f>IFERROR(IF(計算シート!$B$11&gt;14310,"○",""),"")</f>
        <v/>
      </c>
      <c r="H111" s="23" t="s">
        <v>203</v>
      </c>
      <c r="I111" s="64" t="str">
        <f t="shared" si="11"/>
        <v/>
      </c>
      <c r="J111" s="64">
        <v>7155</v>
      </c>
      <c r="K111" s="64" t="str">
        <f>IF(AND(計算シート!$E$3='計算式あて（当初）'!C111,E111="○",G111="○",I111="○"),"☆","")</f>
        <v/>
      </c>
      <c r="L111" s="66" t="str">
        <f>IF(AND(計算シート!$E$5='計算式あて（当初）'!C111,E111="○",G111="○",I111="○"),"◇","")</f>
        <v/>
      </c>
    </row>
    <row r="112" spans="1:12">
      <c r="A112" s="25"/>
      <c r="B112" s="25"/>
      <c r="C112" s="24">
        <v>41122</v>
      </c>
      <c r="D112" s="23" t="s">
        <v>69</v>
      </c>
      <c r="E112" s="64" t="str">
        <f>IFERROR(IF(D112=計算シート!$B$7,"○",""),"")</f>
        <v/>
      </c>
      <c r="F112" s="23" t="s">
        <v>196</v>
      </c>
      <c r="G112" s="64" t="str">
        <f>IFERROR(IF(AND(計算シート!$B$11&gt;=2320,計算シート!$B$11&lt;4640),"○",""),"")</f>
        <v/>
      </c>
      <c r="H112" s="23" t="s">
        <v>80</v>
      </c>
      <c r="I112" s="64" t="str">
        <f t="shared" si="11"/>
        <v/>
      </c>
      <c r="J112" s="64">
        <f>ROUNDDOWN(計算シート!$B$11*0.8,0)</f>
        <v>0</v>
      </c>
      <c r="K112" s="64" t="str">
        <f>IF(AND(計算シート!$E$3='計算式あて（当初）'!C112,E112="○",G112="○",I112="○"),"☆","")</f>
        <v/>
      </c>
      <c r="L112" s="66" t="str">
        <f>IF(AND(計算シート!$E$5='計算式あて（当初）'!C112,E112="○",G112="○",I112="○"),"◇","")</f>
        <v/>
      </c>
    </row>
    <row r="113" spans="1:12">
      <c r="A113" s="25"/>
      <c r="B113" s="25"/>
      <c r="C113" s="24">
        <v>41122</v>
      </c>
      <c r="D113" s="23" t="s">
        <v>69</v>
      </c>
      <c r="E113" s="64" t="str">
        <f>IFERROR(IF(D113=計算シート!$B$7,"○",""),"")</f>
        <v/>
      </c>
      <c r="F113" s="23" t="s">
        <v>554</v>
      </c>
      <c r="G113" s="64" t="str">
        <f>IFERROR(IF(AND(計算シート!$B$11&gt;=4640,計算シート!$B$11&lt;=11740),"○",""),"")</f>
        <v/>
      </c>
      <c r="H113" s="23" t="s">
        <v>350</v>
      </c>
      <c r="I113" s="64" t="str">
        <f t="shared" si="11"/>
        <v/>
      </c>
      <c r="J113" s="64">
        <f>ROUNDDOWN(0.8*計算シート!$B$11-0.3*((計算シート!$B$11-4640)/(11740-4640))*計算シート!$B$11,0)</f>
        <v>0</v>
      </c>
      <c r="K113" s="64" t="str">
        <f>IF(AND(計算シート!$E$3='計算式あて（当初）'!C113,E113="○",G113="○",I113="○"),"☆","")</f>
        <v/>
      </c>
      <c r="L113" s="66" t="str">
        <f>IF(AND(計算シート!$E$5='計算式あて（当初）'!C113,E113="○",G113="○",I113="○"),"◇","")</f>
        <v/>
      </c>
    </row>
    <row r="114" spans="1:12">
      <c r="A114" s="25"/>
      <c r="B114" s="25"/>
      <c r="C114" s="24">
        <v>41122</v>
      </c>
      <c r="D114" s="23" t="s">
        <v>69</v>
      </c>
      <c r="E114" s="64" t="str">
        <f>IFERROR(IF(D114=計算シート!$B$7,"○",""),"")</f>
        <v/>
      </c>
      <c r="F114" s="23" t="s">
        <v>555</v>
      </c>
      <c r="G114" s="64" t="str">
        <f>IFERROR(IF(AND(計算シート!$B$11&gt;11740,計算シート!$B$11&lt;=15740),"○",""),"")</f>
        <v/>
      </c>
      <c r="H114" s="23" t="s">
        <v>82</v>
      </c>
      <c r="I114" s="64" t="str">
        <f t="shared" si="11"/>
        <v/>
      </c>
      <c r="J114" s="64">
        <f>ROUNDDOWN(計算シート!$B$11*0.5,0)</f>
        <v>0</v>
      </c>
      <c r="K114" s="64" t="str">
        <f>IF(AND(計算シート!$E$3='計算式あて（当初）'!C114,E114="○",G114="○",I114="○"),"☆","")</f>
        <v/>
      </c>
      <c r="L114" s="66" t="str">
        <f>IF(AND(計算シート!$E$5='計算式あて（当初）'!C114,E114="○",G114="○",I114="○"),"◇","")</f>
        <v/>
      </c>
    </row>
    <row r="115" spans="1:12">
      <c r="A115" s="25"/>
      <c r="B115" s="25"/>
      <c r="C115" s="24">
        <v>41122</v>
      </c>
      <c r="D115" s="23" t="s">
        <v>69</v>
      </c>
      <c r="E115" s="64" t="str">
        <f>IFERROR(IF(D115=計算シート!$B$7,"○",""),"")</f>
        <v/>
      </c>
      <c r="F115" s="23" t="s">
        <v>135</v>
      </c>
      <c r="G115" s="64" t="str">
        <f>IFERROR(IF(計算シート!$B$11&gt;15740,"○",""),"")</f>
        <v/>
      </c>
      <c r="H115" s="23" t="s">
        <v>204</v>
      </c>
      <c r="I115" s="64" t="str">
        <f t="shared" si="11"/>
        <v/>
      </c>
      <c r="J115" s="64">
        <v>7870</v>
      </c>
      <c r="K115" s="64" t="str">
        <f>IF(AND(計算シート!$E$3='計算式あて（当初）'!C115,E115="○",G115="○",I115="○"),"☆","")</f>
        <v/>
      </c>
      <c r="L115" s="66" t="str">
        <f>IF(AND(計算シート!$E$5='計算式あて（当初）'!C115,E115="○",G115="○",I115="○"),"◇","")</f>
        <v/>
      </c>
    </row>
    <row r="116" spans="1:12">
      <c r="A116" s="25"/>
      <c r="B116" s="25"/>
      <c r="C116" s="24">
        <v>41122</v>
      </c>
      <c r="D116" s="23" t="s">
        <v>70</v>
      </c>
      <c r="E116" s="64" t="str">
        <f>IFERROR(IF(D116=計算シート!$B$7,"○",""),"")</f>
        <v/>
      </c>
      <c r="F116" s="23" t="s">
        <v>196</v>
      </c>
      <c r="G116" s="64" t="str">
        <f>IFERROR(IF(AND(計算シート!$B$11&gt;=2320,計算シート!$B$11&lt;4640),"○",""),"")</f>
        <v/>
      </c>
      <c r="H116" s="23" t="s">
        <v>80</v>
      </c>
      <c r="I116" s="64" t="str">
        <f t="shared" si="11"/>
        <v/>
      </c>
      <c r="J116" s="64">
        <f>ROUNDDOWN(計算シート!$B$11*0.8,0)</f>
        <v>0</v>
      </c>
      <c r="K116" s="64" t="str">
        <f>IF(AND(計算シート!$E$3='計算式あて（当初）'!C116,E116="○",G116="○",I116="○"),"☆","")</f>
        <v/>
      </c>
      <c r="L116" s="66" t="str">
        <f>IF(AND(計算シート!$E$5='計算式あて（当初）'!C116,E116="○",G116="○",I116="○"),"◇","")</f>
        <v/>
      </c>
    </row>
    <row r="117" spans="1:12">
      <c r="A117" s="25"/>
      <c r="B117" s="25"/>
      <c r="C117" s="24">
        <v>41122</v>
      </c>
      <c r="D117" s="23" t="s">
        <v>70</v>
      </c>
      <c r="E117" s="64" t="str">
        <f>IFERROR(IF(D117=計算シート!$B$7,"○",""),"")</f>
        <v/>
      </c>
      <c r="F117" s="23" t="s">
        <v>556</v>
      </c>
      <c r="G117" s="64" t="str">
        <f>IFERROR(IF(AND(計算シート!$B$11&gt;=4640,計算シート!$B$11&lt;=10570),"○",""),"")</f>
        <v/>
      </c>
      <c r="H117" s="23" t="s">
        <v>200</v>
      </c>
      <c r="I117" s="64" t="str">
        <f>IFERROR(IF(J117&lt;J118,"○",""),"")</f>
        <v>○</v>
      </c>
      <c r="J117" s="64">
        <f>ROUNDDOWN(0.8*計算シート!$B$11-0.35*((計算シート!$B$11-4640)/(10570-4640))*計算シート!$B$11,0)</f>
        <v>0</v>
      </c>
      <c r="K117" s="64" t="str">
        <f>IF(AND(計算シート!$E$3='計算式あて（当初）'!C117,E117="○",G117="○",I117="○"),"☆","")</f>
        <v/>
      </c>
      <c r="L117" s="66" t="str">
        <f>IF(AND(計算シート!$E$5='計算式あて（当初）'!C117,E117="○",G117="○",I117="○"),"◇","")</f>
        <v/>
      </c>
    </row>
    <row r="118" spans="1:12">
      <c r="A118" s="25"/>
      <c r="B118" s="25"/>
      <c r="C118" s="24">
        <v>41122</v>
      </c>
      <c r="D118" s="23" t="s">
        <v>70</v>
      </c>
      <c r="E118" s="64" t="str">
        <f>IFERROR(IF(D118=計算シート!$B$7,"○",""),"")</f>
        <v/>
      </c>
      <c r="F118" s="23" t="s">
        <v>556</v>
      </c>
      <c r="G118" s="64" t="str">
        <f>IFERROR(IF(AND(計算シート!$B$11&gt;=4640,計算シート!$B$11&lt;=10570),"○",""),"")</f>
        <v/>
      </c>
      <c r="H118" s="23" t="s">
        <v>201</v>
      </c>
      <c r="I118" s="64" t="str">
        <f>IFERROR(IF(J118&lt;J117,"○",""),"")</f>
        <v/>
      </c>
      <c r="J118" s="64">
        <f>ROUNDDOWN(計算シート!$B$11*0.05+(10570*0.4),0)</f>
        <v>4228</v>
      </c>
      <c r="K118" s="64" t="str">
        <f>IF(AND(計算シート!$E$3='計算式あて（当初）'!C118,E118="○",G118="○",I118="○"),"☆","")</f>
        <v/>
      </c>
      <c r="L118" s="66" t="str">
        <f>IF(AND(計算シート!$E$5='計算式あて（当初）'!C118,E118="○",G118="○",I118="○"),"◇","")</f>
        <v/>
      </c>
    </row>
    <row r="119" spans="1:12">
      <c r="A119" s="25"/>
      <c r="B119" s="25"/>
      <c r="C119" s="24">
        <v>41122</v>
      </c>
      <c r="D119" s="23" t="s">
        <v>70</v>
      </c>
      <c r="E119" s="64" t="str">
        <f>IFERROR(IF(D119=計算シート!$B$7,"○",""),"")</f>
        <v/>
      </c>
      <c r="F119" s="23" t="s">
        <v>351</v>
      </c>
      <c r="G119" s="64" t="str">
        <f>IFERROR(IF(AND(計算シート!$B$11&gt;10570,計算シート!$B$11&lt;=15020),"○",""),"")</f>
        <v/>
      </c>
      <c r="H119" s="23" t="s">
        <v>84</v>
      </c>
      <c r="I119" s="64" t="str">
        <f t="shared" ref="I119:I120" si="12">G119</f>
        <v/>
      </c>
      <c r="J119" s="64">
        <f>ROUNDDOWN(計算シート!$B$11*0.45,0)</f>
        <v>0</v>
      </c>
      <c r="K119" s="64" t="str">
        <f>IF(AND(計算シート!$E$3='計算式あて（当初）'!C119,E119="○",G119="○",I119="○"),"☆","")</f>
        <v/>
      </c>
      <c r="L119" s="66" t="str">
        <f>IF(AND(計算シート!$E$5='計算式あて（当初）'!C119,E119="○",G119="○",I119="○"),"◇","")</f>
        <v/>
      </c>
    </row>
    <row r="120" spans="1:12">
      <c r="A120" s="27"/>
      <c r="B120" s="28"/>
      <c r="C120" s="24">
        <v>41122</v>
      </c>
      <c r="D120" s="23" t="s">
        <v>70</v>
      </c>
      <c r="E120" s="64" t="str">
        <f>IFERROR(IF(D120=計算シート!$B$7,"○",""),"")</f>
        <v/>
      </c>
      <c r="F120" s="23" t="s">
        <v>352</v>
      </c>
      <c r="G120" s="64" t="str">
        <f>IFERROR(IF(計算シート!$B$11&gt;15020,"○",""),"")</f>
        <v/>
      </c>
      <c r="H120" s="23" t="s">
        <v>353</v>
      </c>
      <c r="I120" s="64" t="str">
        <f t="shared" si="12"/>
        <v/>
      </c>
      <c r="J120" s="64">
        <v>6759</v>
      </c>
      <c r="K120" s="64" t="str">
        <f>IF(AND(計算シート!$E$3='計算式あて（当初）'!C120,E120="○",G120="○",I120="○"),"☆","")</f>
        <v/>
      </c>
      <c r="L120" s="66" t="str">
        <f>IF(AND(計算シート!$E$5='計算式あて（当初）'!C120,E120="○",G120="○",I120="○"),"◇","")</f>
        <v/>
      </c>
    </row>
    <row r="121" spans="1:12" ht="27">
      <c r="A121" s="25"/>
      <c r="B121" s="26" t="s">
        <v>429</v>
      </c>
      <c r="C121" s="24">
        <v>40756</v>
      </c>
      <c r="D121" s="23" t="s">
        <v>67</v>
      </c>
      <c r="E121" s="64" t="str">
        <f>IFERROR(IF(D121=計算シート!$B$7,"○",""),"")</f>
        <v/>
      </c>
      <c r="F121" s="23" t="s">
        <v>207</v>
      </c>
      <c r="G121" s="64" t="str">
        <f>IFERROR(IF(AND(計算シート!$B$11&gt;=2330,計算シート!$B$11&lt;4650),"○",""),"")</f>
        <v/>
      </c>
      <c r="H121" s="23" t="s">
        <v>80</v>
      </c>
      <c r="I121" s="64" t="str">
        <f>G121</f>
        <v/>
      </c>
      <c r="J121" s="64">
        <f>ROUNDDOWN(計算シート!$B$11*0.8,0)</f>
        <v>0</v>
      </c>
      <c r="K121" s="64" t="str">
        <f>IF(AND(計算シート!$E$3='計算式あて（当初）'!C121,E121="○",G121="○",I121="○"),"☆","")</f>
        <v/>
      </c>
      <c r="L121" s="66" t="str">
        <f>IF(AND(計算シート!$E$5='計算式あて（当初）'!C121,E121="○",G121="○",I121="○"),"◇","")</f>
        <v/>
      </c>
    </row>
    <row r="122" spans="1:12">
      <c r="A122" s="25"/>
      <c r="B122" s="25"/>
      <c r="C122" s="24">
        <v>40756</v>
      </c>
      <c r="D122" s="23" t="s">
        <v>67</v>
      </c>
      <c r="E122" s="64" t="str">
        <f>IFERROR(IF(D122=計算シート!$B$7,"○",""),"")</f>
        <v/>
      </c>
      <c r="F122" s="23" t="s">
        <v>557</v>
      </c>
      <c r="G122" s="64" t="str">
        <f>IFERROR(IF(AND(計算シート!$B$11&gt;=4650,計算シート!$B$11&lt;=11770),"○",""),"")</f>
        <v/>
      </c>
      <c r="H122" s="23" t="s">
        <v>354</v>
      </c>
      <c r="I122" s="64" t="str">
        <f t="shared" ref="I122:I133" si="13">G122</f>
        <v/>
      </c>
      <c r="J122" s="64">
        <f>ROUNDDOWN(0.8*計算シート!$B$11-0.3*((計算シート!$B$11-4650)/(11770-4650))*計算シート!$B$11,0)</f>
        <v>0</v>
      </c>
      <c r="K122" s="64" t="str">
        <f>IF(AND(計算シート!$E$3='計算式あて（当初）'!C122,E122="○",G122="○",I122="○"),"☆","")</f>
        <v/>
      </c>
      <c r="L122" s="66" t="str">
        <f>IF(AND(計算シート!$E$5='計算式あて（当初）'!C122,E122="○",G122="○",I122="○"),"◇","")</f>
        <v/>
      </c>
    </row>
    <row r="123" spans="1:12">
      <c r="A123" s="25"/>
      <c r="B123" s="25"/>
      <c r="C123" s="24">
        <v>40756</v>
      </c>
      <c r="D123" s="23" t="s">
        <v>67</v>
      </c>
      <c r="E123" s="64" t="str">
        <f>IFERROR(IF(D123=計算シート!$B$7,"○",""),"")</f>
        <v/>
      </c>
      <c r="F123" s="23" t="s">
        <v>558</v>
      </c>
      <c r="G123" s="64" t="str">
        <f>IFERROR(IF(AND(計算シート!$B$11&gt;11770,計算シート!$B$11&lt;=12910),"○",""),"")</f>
        <v/>
      </c>
      <c r="H123" s="23" t="s">
        <v>82</v>
      </c>
      <c r="I123" s="64" t="str">
        <f t="shared" si="13"/>
        <v/>
      </c>
      <c r="J123" s="64">
        <f>ROUNDDOWN(計算シート!$B$11*0.5,0)</f>
        <v>0</v>
      </c>
      <c r="K123" s="64" t="str">
        <f>IF(AND(計算シート!$E$3='計算式あて（当初）'!C123,E123="○",G123="○",I123="○"),"☆","")</f>
        <v/>
      </c>
      <c r="L123" s="66" t="str">
        <f>IF(AND(計算シート!$E$5='計算式あて（当初）'!C123,E123="○",G123="○",I123="○"),"◇","")</f>
        <v/>
      </c>
    </row>
    <row r="124" spans="1:12">
      <c r="A124" s="25"/>
      <c r="B124" s="25"/>
      <c r="C124" s="24">
        <v>40756</v>
      </c>
      <c r="D124" s="23" t="s">
        <v>67</v>
      </c>
      <c r="E124" s="64" t="str">
        <f>IFERROR(IF(D124=計算シート!$B$7,"○",""),"")</f>
        <v/>
      </c>
      <c r="F124" s="23" t="s">
        <v>216</v>
      </c>
      <c r="G124" s="64" t="str">
        <f>IFERROR(IF(計算シート!$B$11&gt;12910,"○",""),"")</f>
        <v/>
      </c>
      <c r="H124" s="23" t="s">
        <v>220</v>
      </c>
      <c r="I124" s="64" t="str">
        <f t="shared" si="13"/>
        <v/>
      </c>
      <c r="J124" s="64">
        <v>6455</v>
      </c>
      <c r="K124" s="64" t="str">
        <f>IF(AND(計算シート!$E$3='計算式あて（当初）'!C124,E124="○",G124="○",I124="○"),"☆","")</f>
        <v/>
      </c>
      <c r="L124" s="66" t="str">
        <f>IF(AND(計算シート!$E$5='計算式あて（当初）'!C124,E124="○",G124="○",I124="○"),"◇","")</f>
        <v/>
      </c>
    </row>
    <row r="125" spans="1:12">
      <c r="A125" s="25"/>
      <c r="B125" s="25"/>
      <c r="C125" s="24">
        <v>40756</v>
      </c>
      <c r="D125" s="23" t="s">
        <v>68</v>
      </c>
      <c r="E125" s="64" t="str">
        <f>IFERROR(IF(D125=計算シート!$B$7,"○",""),"")</f>
        <v/>
      </c>
      <c r="F125" s="23" t="s">
        <v>207</v>
      </c>
      <c r="G125" s="64" t="str">
        <f>IFERROR(IF(AND(計算シート!$B$11&gt;=2330,計算シート!$B$11&lt;4650),"○",""),"")</f>
        <v/>
      </c>
      <c r="H125" s="23" t="s">
        <v>80</v>
      </c>
      <c r="I125" s="64" t="str">
        <f t="shared" si="13"/>
        <v/>
      </c>
      <c r="J125" s="64">
        <f>ROUNDDOWN(計算シート!$B$11*0.8,0)</f>
        <v>0</v>
      </c>
      <c r="K125" s="64" t="str">
        <f>IF(AND(計算シート!$E$3='計算式あて（当初）'!C125,E125="○",G125="○",I125="○"),"☆","")</f>
        <v/>
      </c>
      <c r="L125" s="66" t="str">
        <f>IF(AND(計算シート!$E$5='計算式あて（当初）'!C125,E125="○",G125="○",I125="○"),"◇","")</f>
        <v/>
      </c>
    </row>
    <row r="126" spans="1:12">
      <c r="A126" s="25"/>
      <c r="B126" s="25"/>
      <c r="C126" s="24">
        <v>40756</v>
      </c>
      <c r="D126" s="23" t="s">
        <v>68</v>
      </c>
      <c r="E126" s="64" t="str">
        <f>IFERROR(IF(D126=計算シート!$B$7,"○",""),"")</f>
        <v/>
      </c>
      <c r="F126" s="23" t="s">
        <v>557</v>
      </c>
      <c r="G126" s="64" t="str">
        <f>IFERROR(IF(AND(計算シート!$B$11&gt;=4650,計算シート!$B$11&lt;=11770),"○",""),"")</f>
        <v/>
      </c>
      <c r="H126" s="23" t="s">
        <v>354</v>
      </c>
      <c r="I126" s="64" t="str">
        <f t="shared" si="13"/>
        <v/>
      </c>
      <c r="J126" s="64">
        <f>ROUNDDOWN(0.8*計算シート!$B$11-0.3*((計算シート!$B$11-4650)/(11770-4650))*計算シート!$B$11,0)</f>
        <v>0</v>
      </c>
      <c r="K126" s="64" t="str">
        <f>IF(AND(計算シート!$E$3='計算式あて（当初）'!C126,E126="○",G126="○",I126="○"),"☆","")</f>
        <v/>
      </c>
      <c r="L126" s="66" t="str">
        <f>IF(AND(計算シート!$E$5='計算式あて（当初）'!C126,E126="○",G126="○",I126="○"),"◇","")</f>
        <v/>
      </c>
    </row>
    <row r="127" spans="1:12">
      <c r="A127" s="25"/>
      <c r="B127" s="25"/>
      <c r="C127" s="24">
        <v>40756</v>
      </c>
      <c r="D127" s="23" t="s">
        <v>68</v>
      </c>
      <c r="E127" s="64" t="str">
        <f>IFERROR(IF(D127=計算シート!$B$7,"○",""),"")</f>
        <v/>
      </c>
      <c r="F127" s="23" t="s">
        <v>559</v>
      </c>
      <c r="G127" s="64" t="str">
        <f>IFERROR(IF(AND(計算シート!$B$11&gt;11770,計算シート!$B$11&lt;=14340),"○",""),"")</f>
        <v/>
      </c>
      <c r="H127" s="23" t="s">
        <v>82</v>
      </c>
      <c r="I127" s="64" t="str">
        <f t="shared" si="13"/>
        <v/>
      </c>
      <c r="J127" s="64">
        <f>ROUNDDOWN(計算シート!$B$11*0.5,0)</f>
        <v>0</v>
      </c>
      <c r="K127" s="64" t="str">
        <f>IF(AND(計算シート!$E$3='計算式あて（当初）'!C127,E127="○",G127="○",I127="○"),"☆","")</f>
        <v/>
      </c>
      <c r="L127" s="66" t="str">
        <f>IF(AND(計算シート!$E$5='計算式あて（当初）'!C127,E127="○",G127="○",I127="○"),"◇","")</f>
        <v/>
      </c>
    </row>
    <row r="128" spans="1:12">
      <c r="A128" s="25"/>
      <c r="B128" s="25"/>
      <c r="C128" s="24">
        <v>40756</v>
      </c>
      <c r="D128" s="23" t="s">
        <v>68</v>
      </c>
      <c r="E128" s="64" t="str">
        <f>IFERROR(IF(D128=計算シート!$B$7,"○",""),"")</f>
        <v/>
      </c>
      <c r="F128" s="23" t="s">
        <v>209</v>
      </c>
      <c r="G128" s="64" t="str">
        <f>IFERROR(IF(計算シート!$B$11&gt;14340,"○",""),"")</f>
        <v/>
      </c>
      <c r="H128" s="23" t="s">
        <v>217</v>
      </c>
      <c r="I128" s="64" t="str">
        <f t="shared" si="13"/>
        <v/>
      </c>
      <c r="J128" s="64">
        <v>7170</v>
      </c>
      <c r="K128" s="64" t="str">
        <f>IF(AND(計算シート!$E$3='計算式あて（当初）'!C128,E128="○",G128="○",I128="○"),"☆","")</f>
        <v/>
      </c>
      <c r="L128" s="66" t="str">
        <f>IF(AND(計算シート!$E$5='計算式あて（当初）'!C128,E128="○",G128="○",I128="○"),"◇","")</f>
        <v/>
      </c>
    </row>
    <row r="129" spans="1:12">
      <c r="A129" s="25"/>
      <c r="B129" s="25"/>
      <c r="C129" s="24">
        <v>40756</v>
      </c>
      <c r="D129" s="23" t="s">
        <v>69</v>
      </c>
      <c r="E129" s="64" t="str">
        <f>IFERROR(IF(D129=計算シート!$B$7,"○",""),"")</f>
        <v/>
      </c>
      <c r="F129" s="23" t="s">
        <v>207</v>
      </c>
      <c r="G129" s="64" t="str">
        <f>IFERROR(IF(AND(計算シート!$B$11&gt;=2330,計算シート!$B$11&lt;4650),"○",""),"")</f>
        <v/>
      </c>
      <c r="H129" s="23" t="s">
        <v>80</v>
      </c>
      <c r="I129" s="64" t="str">
        <f t="shared" si="13"/>
        <v/>
      </c>
      <c r="J129" s="64">
        <f>ROUNDDOWN(計算シート!$B$11*0.8,0)</f>
        <v>0</v>
      </c>
      <c r="K129" s="64" t="str">
        <f>IF(AND(計算シート!$E$3='計算式あて（当初）'!C129,E129="○",G129="○",I129="○"),"☆","")</f>
        <v/>
      </c>
      <c r="L129" s="66" t="str">
        <f>IF(AND(計算シート!$E$5='計算式あて（当初）'!C129,E129="○",G129="○",I129="○"),"◇","")</f>
        <v/>
      </c>
    </row>
    <row r="130" spans="1:12">
      <c r="A130" s="25"/>
      <c r="B130" s="25"/>
      <c r="C130" s="24">
        <v>40756</v>
      </c>
      <c r="D130" s="23" t="s">
        <v>69</v>
      </c>
      <c r="E130" s="64" t="str">
        <f>IFERROR(IF(D130=計算シート!$B$7,"○",""),"")</f>
        <v/>
      </c>
      <c r="F130" s="23" t="s">
        <v>557</v>
      </c>
      <c r="G130" s="64" t="str">
        <f>IFERROR(IF(AND(計算シート!$B$11&gt;=4650,計算シート!$B$11&lt;=11770),"○",""),"")</f>
        <v/>
      </c>
      <c r="H130" s="23" t="s">
        <v>354</v>
      </c>
      <c r="I130" s="64" t="str">
        <f t="shared" si="13"/>
        <v/>
      </c>
      <c r="J130" s="64">
        <f>ROUNDDOWN(0.8*計算シート!$B$11-0.3*((計算シート!$B$11-4650)/(11770-4650))*計算シート!$B$11,0)</f>
        <v>0</v>
      </c>
      <c r="K130" s="64" t="str">
        <f>IF(AND(計算シート!$E$3='計算式あて（当初）'!C130,E130="○",G130="○",I130="○"),"☆","")</f>
        <v/>
      </c>
      <c r="L130" s="66" t="str">
        <f>IF(AND(計算シート!$E$5='計算式あて（当初）'!C130,E130="○",G130="○",I130="○"),"◇","")</f>
        <v/>
      </c>
    </row>
    <row r="131" spans="1:12">
      <c r="A131" s="25"/>
      <c r="B131" s="25"/>
      <c r="C131" s="24">
        <v>40756</v>
      </c>
      <c r="D131" s="23" t="s">
        <v>69</v>
      </c>
      <c r="E131" s="64" t="str">
        <f>IFERROR(IF(D131=計算シート!$B$7,"○",""),"")</f>
        <v/>
      </c>
      <c r="F131" s="23" t="s">
        <v>560</v>
      </c>
      <c r="G131" s="64" t="str">
        <f>IFERROR(IF(AND(計算シート!$B$11&gt;11770,計算シート!$B$11&lt;=15780),"○",""),"")</f>
        <v/>
      </c>
      <c r="H131" s="23" t="s">
        <v>82</v>
      </c>
      <c r="I131" s="64" t="str">
        <f t="shared" si="13"/>
        <v/>
      </c>
      <c r="J131" s="64">
        <f>ROUNDDOWN(計算シート!$B$11*0.5,0)</f>
        <v>0</v>
      </c>
      <c r="K131" s="64" t="str">
        <f>IF(AND(計算シート!$E$3='計算式あて（当初）'!C131,E131="○",G131="○",I131="○"),"☆","")</f>
        <v/>
      </c>
      <c r="L131" s="66" t="str">
        <f>IF(AND(計算シート!$E$5='計算式あて（当初）'!C131,E131="○",G131="○",I131="○"),"◇","")</f>
        <v/>
      </c>
    </row>
    <row r="132" spans="1:12">
      <c r="A132" s="25"/>
      <c r="B132" s="25"/>
      <c r="C132" s="24">
        <v>40756</v>
      </c>
      <c r="D132" s="23" t="s">
        <v>69</v>
      </c>
      <c r="E132" s="64" t="str">
        <f>IFERROR(IF(D132=計算シート!$B$7,"○",""),"")</f>
        <v/>
      </c>
      <c r="F132" s="23" t="s">
        <v>210</v>
      </c>
      <c r="G132" s="64" t="str">
        <f>IFERROR(IF(計算シート!$B$11&gt;15780,"○",""),"")</f>
        <v/>
      </c>
      <c r="H132" s="23" t="s">
        <v>218</v>
      </c>
      <c r="I132" s="64" t="str">
        <f t="shared" si="13"/>
        <v/>
      </c>
      <c r="J132" s="64">
        <v>7890</v>
      </c>
      <c r="K132" s="64" t="str">
        <f>IF(AND(計算シート!$E$3='計算式あて（当初）'!C132,E132="○",G132="○",I132="○"),"☆","")</f>
        <v/>
      </c>
      <c r="L132" s="66" t="str">
        <f>IF(AND(計算シート!$E$5='計算式あて（当初）'!C132,E132="○",G132="○",I132="○"),"◇","")</f>
        <v/>
      </c>
    </row>
    <row r="133" spans="1:12">
      <c r="A133" s="25"/>
      <c r="B133" s="25"/>
      <c r="C133" s="24">
        <v>40756</v>
      </c>
      <c r="D133" s="23" t="s">
        <v>70</v>
      </c>
      <c r="E133" s="64" t="str">
        <f>IFERROR(IF(D133=計算シート!$B$7,"○",""),"")</f>
        <v/>
      </c>
      <c r="F133" s="23" t="s">
        <v>207</v>
      </c>
      <c r="G133" s="64" t="str">
        <f>IFERROR(IF(AND(計算シート!$B$11&gt;=2330,計算シート!$B$11&lt;4650),"○",""),"")</f>
        <v/>
      </c>
      <c r="H133" s="23" t="s">
        <v>80</v>
      </c>
      <c r="I133" s="64" t="str">
        <f t="shared" si="13"/>
        <v/>
      </c>
      <c r="J133" s="64">
        <f>ROUNDDOWN(計算シート!$B$11*0.8,0)</f>
        <v>0</v>
      </c>
      <c r="K133" s="64" t="str">
        <f>IF(AND(計算シート!$E$3='計算式あて（当初）'!C133,E133="○",G133="○",I133="○"),"☆","")</f>
        <v/>
      </c>
      <c r="L133" s="66" t="str">
        <f>IF(AND(計算シート!$E$5='計算式あて（当初）'!C133,E133="○",G133="○",I133="○"),"◇","")</f>
        <v/>
      </c>
    </row>
    <row r="134" spans="1:12">
      <c r="A134" s="25"/>
      <c r="B134" s="25"/>
      <c r="C134" s="24">
        <v>40756</v>
      </c>
      <c r="D134" s="23" t="s">
        <v>70</v>
      </c>
      <c r="E134" s="64" t="str">
        <f>IFERROR(IF(D134=計算シート!$B$7,"○",""),"")</f>
        <v/>
      </c>
      <c r="F134" s="23" t="s">
        <v>561</v>
      </c>
      <c r="G134" s="64" t="str">
        <f>IFERROR(IF(AND(計算シート!$B$11&gt;=4650,計算シート!$B$11&lt;=10600),"○",""),"")</f>
        <v/>
      </c>
      <c r="H134" s="23" t="s">
        <v>211</v>
      </c>
      <c r="I134" s="64" t="str">
        <f>IFERROR(IF(J134&lt;J135,"○",""),"")</f>
        <v>○</v>
      </c>
      <c r="J134" s="64">
        <f>ROUNDDOWN(0.8*計算シート!$B$11-0.35*((計算シート!$B$11-4650)/(10600-4650))*計算シート!$B$11,0)</f>
        <v>0</v>
      </c>
      <c r="K134" s="64" t="str">
        <f>IF(AND(計算シート!$E$3='計算式あて（当初）'!C134,E134="○",G134="○",I134="○"),"☆","")</f>
        <v/>
      </c>
      <c r="L134" s="66" t="str">
        <f>IF(AND(計算シート!$E$5='計算式あて（当初）'!C134,E134="○",G134="○",I134="○"),"◇","")</f>
        <v/>
      </c>
    </row>
    <row r="135" spans="1:12">
      <c r="A135" s="25"/>
      <c r="B135" s="25"/>
      <c r="C135" s="24">
        <v>40756</v>
      </c>
      <c r="D135" s="23" t="s">
        <v>70</v>
      </c>
      <c r="E135" s="64" t="str">
        <f>IFERROR(IF(D135=計算シート!$B$7,"○",""),"")</f>
        <v/>
      </c>
      <c r="F135" s="23" t="s">
        <v>561</v>
      </c>
      <c r="G135" s="64" t="str">
        <f>IFERROR(IF(AND(計算シート!$B$11&gt;=4650,計算シート!$B$11&lt;=10600),"○",""),"")</f>
        <v/>
      </c>
      <c r="H135" s="23" t="s">
        <v>212</v>
      </c>
      <c r="I135" s="64" t="str">
        <f>IFERROR(IF(J135&lt;J134,"○",""),"")</f>
        <v/>
      </c>
      <c r="J135" s="64">
        <f>ROUNDDOWN(計算シート!$B$11*0.05+(10600*0.4),0)</f>
        <v>4240</v>
      </c>
      <c r="K135" s="64" t="str">
        <f>IF(AND(計算シート!$E$3='計算式あて（当初）'!C135,E135="○",G135="○",I135="○"),"☆","")</f>
        <v/>
      </c>
      <c r="L135" s="66" t="str">
        <f>IF(AND(計算シート!$E$5='計算式あて（当初）'!C135,E135="○",G135="○",I135="○"),"◇","")</f>
        <v/>
      </c>
    </row>
    <row r="136" spans="1:12">
      <c r="A136" s="25"/>
      <c r="B136" s="25"/>
      <c r="C136" s="24">
        <v>40756</v>
      </c>
      <c r="D136" s="23" t="s">
        <v>70</v>
      </c>
      <c r="E136" s="64" t="str">
        <f>IFERROR(IF(D136=計算シート!$B$7,"○",""),"")</f>
        <v/>
      </c>
      <c r="F136" s="23" t="s">
        <v>355</v>
      </c>
      <c r="G136" s="64" t="str">
        <f>IFERROR(IF(AND(計算シート!$B$11&gt;10600,計算シート!$B$11&lt;=15060),"○",""),"")</f>
        <v/>
      </c>
      <c r="H136" s="23" t="s">
        <v>84</v>
      </c>
      <c r="I136" s="64" t="str">
        <f t="shared" ref="I136:I137" si="14">G136</f>
        <v/>
      </c>
      <c r="J136" s="64">
        <f>ROUNDDOWN(計算シート!$B$11*0.45,0)</f>
        <v>0</v>
      </c>
      <c r="K136" s="64" t="str">
        <f>IF(AND(計算シート!$E$3='計算式あて（当初）'!C136,E136="○",G136="○",I136="○"),"☆","")</f>
        <v/>
      </c>
      <c r="L136" s="66" t="str">
        <f>IF(AND(計算シート!$E$5='計算式あて（当初）'!C136,E136="○",G136="○",I136="○"),"◇","")</f>
        <v/>
      </c>
    </row>
    <row r="137" spans="1:12">
      <c r="A137" s="27"/>
      <c r="B137" s="28"/>
      <c r="C137" s="24">
        <v>40756</v>
      </c>
      <c r="D137" s="23" t="s">
        <v>70</v>
      </c>
      <c r="E137" s="64" t="str">
        <f>IFERROR(IF(D137=計算シート!$B$7,"○",""),"")</f>
        <v/>
      </c>
      <c r="F137" s="23" t="s">
        <v>356</v>
      </c>
      <c r="G137" s="64" t="str">
        <f>IFERROR(IF(計算シート!$B$11&gt;15060,"○",""),"")</f>
        <v/>
      </c>
      <c r="H137" s="23" t="s">
        <v>357</v>
      </c>
      <c r="I137" s="64" t="str">
        <f t="shared" si="14"/>
        <v/>
      </c>
      <c r="J137" s="64">
        <v>6777</v>
      </c>
      <c r="K137" s="64" t="str">
        <f>IF(AND(計算シート!$E$3='計算式あて（当初）'!C137,E137="○",G137="○",I137="○"),"☆","")</f>
        <v/>
      </c>
      <c r="L137" s="66" t="str">
        <f>IF(AND(計算シート!$E$5='計算式あて（当初）'!C137,E137="○",G137="○",I137="○"),"◇","")</f>
        <v/>
      </c>
    </row>
    <row r="138" spans="1:12" ht="27">
      <c r="A138" s="25"/>
      <c r="B138" s="26" t="s">
        <v>430</v>
      </c>
      <c r="C138" s="24">
        <v>40391</v>
      </c>
      <c r="D138" s="23" t="s">
        <v>67</v>
      </c>
      <c r="E138" s="64" t="str">
        <f>IFERROR(IF(D138=計算シート!$B$7,"○",""),"")</f>
        <v/>
      </c>
      <c r="F138" s="23" t="s">
        <v>358</v>
      </c>
      <c r="G138" s="64" t="str">
        <f>IFERROR(IF(AND(計算シート!$B$11&gt;=2000,計算シート!$B$11&lt;3950),"○",""),"")</f>
        <v/>
      </c>
      <c r="H138" s="23" t="s">
        <v>80</v>
      </c>
      <c r="I138" s="64" t="str">
        <f>G138</f>
        <v/>
      </c>
      <c r="J138" s="64">
        <f>ROUNDDOWN(計算シート!$B$11*0.8,0)</f>
        <v>0</v>
      </c>
      <c r="K138" s="64" t="str">
        <f>IF(AND(計算シート!$E$3='計算式あて（当初）'!C138,E138="○",G138="○",I138="○"),"☆","")</f>
        <v/>
      </c>
      <c r="L138" s="66" t="str">
        <f>IF(AND(計算シート!$E$5='計算式あて（当初）'!C138,E138="○",G138="○",I138="○"),"◇","")</f>
        <v/>
      </c>
    </row>
    <row r="139" spans="1:12">
      <c r="A139" s="25"/>
      <c r="B139" s="25"/>
      <c r="C139" s="24">
        <v>40391</v>
      </c>
      <c r="D139" s="23" t="s">
        <v>67</v>
      </c>
      <c r="E139" s="64" t="str">
        <f>IFERROR(IF(D139=計算シート!$B$7,"○",""),"")</f>
        <v/>
      </c>
      <c r="F139" s="23" t="s">
        <v>562</v>
      </c>
      <c r="G139" s="64" t="str">
        <f>IFERROR(IF(AND(計算シート!$B$11&gt;=3950,計算シート!$B$11&lt;=11410),"○",""),"")</f>
        <v/>
      </c>
      <c r="H139" s="23" t="s">
        <v>359</v>
      </c>
      <c r="I139" s="64" t="str">
        <f t="shared" ref="I139:I150" si="15">G139</f>
        <v/>
      </c>
      <c r="J139" s="64">
        <f>ROUNDDOWN(0.8*計算シート!$B$11-0.3*((計算シート!$B$11-3950)/(11410-3950))*計算シート!$B$11,0)</f>
        <v>0</v>
      </c>
      <c r="K139" s="64" t="str">
        <f>IF(AND(計算シート!$E$3='計算式あて（当初）'!C139,E139="○",G139="○",I139="○"),"☆","")</f>
        <v/>
      </c>
      <c r="L139" s="66" t="str">
        <f>IF(AND(計算シート!$E$5='計算式あて（当初）'!C139,E139="○",G139="○",I139="○"),"◇","")</f>
        <v/>
      </c>
    </row>
    <row r="140" spans="1:12">
      <c r="A140" s="25"/>
      <c r="B140" s="25"/>
      <c r="C140" s="24">
        <v>40391</v>
      </c>
      <c r="D140" s="23" t="s">
        <v>67</v>
      </c>
      <c r="E140" s="64" t="str">
        <f>IFERROR(IF(D140=計算シート!$B$7,"○",""),"")</f>
        <v/>
      </c>
      <c r="F140" s="23" t="s">
        <v>563</v>
      </c>
      <c r="G140" s="64" t="str">
        <f>IFERROR(IF(AND(計算シート!$B$11&gt;11410,計算シート!$B$11&lt;=12290),"○",""),"")</f>
        <v/>
      </c>
      <c r="H140" s="23" t="s">
        <v>82</v>
      </c>
      <c r="I140" s="64" t="str">
        <f t="shared" si="15"/>
        <v/>
      </c>
      <c r="J140" s="64">
        <f>ROUNDDOWN(計算シート!$B$11*0.5,0)</f>
        <v>0</v>
      </c>
      <c r="K140" s="64" t="str">
        <f>IF(AND(計算シート!$E$3='計算式あて（当初）'!C140,E140="○",G140="○",I140="○"),"☆","")</f>
        <v/>
      </c>
      <c r="L140" s="66" t="str">
        <f>IF(AND(計算シート!$E$5='計算式あて（当初）'!C140,E140="○",G140="○",I140="○"),"◇","")</f>
        <v/>
      </c>
    </row>
    <row r="141" spans="1:12">
      <c r="A141" s="25"/>
      <c r="B141" s="25"/>
      <c r="C141" s="24">
        <v>40391</v>
      </c>
      <c r="D141" s="23" t="s">
        <v>67</v>
      </c>
      <c r="E141" s="64" t="str">
        <f>IFERROR(IF(D141=計算シート!$B$7,"○",""),"")</f>
        <v/>
      </c>
      <c r="F141" s="23" t="s">
        <v>360</v>
      </c>
      <c r="G141" s="64" t="str">
        <f>IFERROR(IF(計算シート!$B$11&gt;12290,"○",""),"")</f>
        <v/>
      </c>
      <c r="H141" s="23" t="s">
        <v>362</v>
      </c>
      <c r="I141" s="64" t="str">
        <f t="shared" si="15"/>
        <v/>
      </c>
      <c r="J141" s="64">
        <v>6145</v>
      </c>
      <c r="K141" s="64" t="str">
        <f>IF(AND(計算シート!$E$3='計算式あて（当初）'!C141,E141="○",G141="○",I141="○"),"☆","")</f>
        <v/>
      </c>
      <c r="L141" s="66" t="str">
        <f>IF(AND(計算シート!$E$5='計算式あて（当初）'!C141,E141="○",G141="○",I141="○"),"◇","")</f>
        <v/>
      </c>
    </row>
    <row r="142" spans="1:12">
      <c r="A142" s="25"/>
      <c r="B142" s="25"/>
      <c r="C142" s="24">
        <v>40391</v>
      </c>
      <c r="D142" s="23" t="s">
        <v>68</v>
      </c>
      <c r="E142" s="64" t="str">
        <f>IFERROR(IF(D142=計算シート!$B$7,"○",""),"")</f>
        <v/>
      </c>
      <c r="F142" s="23" t="s">
        <v>358</v>
      </c>
      <c r="G142" s="64" t="str">
        <f>IFERROR(IF(AND(計算シート!$B$11&gt;=2000,計算シート!$B$11&lt;3950),"○",""),"")</f>
        <v/>
      </c>
      <c r="H142" s="23" t="s">
        <v>80</v>
      </c>
      <c r="I142" s="64" t="str">
        <f t="shared" si="15"/>
        <v/>
      </c>
      <c r="J142" s="64">
        <f>ROUNDDOWN(計算シート!$B$11*0.8,0)</f>
        <v>0</v>
      </c>
      <c r="K142" s="64" t="str">
        <f>IF(AND(計算シート!$E$3='計算式あて（当初）'!C142,E142="○",G142="○",I142="○"),"☆","")</f>
        <v/>
      </c>
      <c r="L142" s="66" t="str">
        <f>IF(AND(計算シート!$E$5='計算式あて（当初）'!C142,E142="○",G142="○",I142="○"),"◇","")</f>
        <v/>
      </c>
    </row>
    <row r="143" spans="1:12">
      <c r="A143" s="25"/>
      <c r="B143" s="25"/>
      <c r="C143" s="24">
        <v>40391</v>
      </c>
      <c r="D143" s="23" t="s">
        <v>68</v>
      </c>
      <c r="E143" s="64" t="str">
        <f>IFERROR(IF(D143=計算シート!$B$7,"○",""),"")</f>
        <v/>
      </c>
      <c r="F143" s="23" t="s">
        <v>562</v>
      </c>
      <c r="G143" s="64" t="str">
        <f>IFERROR(IF(AND(計算シート!$B$11&gt;=3950,計算シート!$B$11&lt;=11410),"○",""),"")</f>
        <v/>
      </c>
      <c r="H143" s="23" t="s">
        <v>359</v>
      </c>
      <c r="I143" s="64" t="str">
        <f t="shared" si="15"/>
        <v/>
      </c>
      <c r="J143" s="64">
        <f>ROUNDDOWN(0.8*計算シート!$B$11-0.3*((計算シート!$B$11-3950)/(11410-3950))*計算シート!$B$11,0)</f>
        <v>0</v>
      </c>
      <c r="K143" s="64" t="str">
        <f>IF(AND(計算シート!$E$3='計算式あて（当初）'!C143,E143="○",G143="○",I143="○"),"☆","")</f>
        <v/>
      </c>
      <c r="L143" s="66" t="str">
        <f>IF(AND(計算シート!$E$5='計算式あて（当初）'!C143,E143="○",G143="○",I143="○"),"◇","")</f>
        <v/>
      </c>
    </row>
    <row r="144" spans="1:12">
      <c r="A144" s="25"/>
      <c r="B144" s="25"/>
      <c r="C144" s="24">
        <v>40391</v>
      </c>
      <c r="D144" s="23" t="s">
        <v>68</v>
      </c>
      <c r="E144" s="64" t="str">
        <f>IFERROR(IF(D144=計算シート!$B$7,"○",""),"")</f>
        <v/>
      </c>
      <c r="F144" s="23" t="s">
        <v>564</v>
      </c>
      <c r="G144" s="64" t="str">
        <f>IFERROR(IF(AND(計算シート!$B$11&gt;11410,計算シート!$B$11&lt;=13650),"○",""),"")</f>
        <v/>
      </c>
      <c r="H144" s="23" t="s">
        <v>82</v>
      </c>
      <c r="I144" s="64" t="str">
        <f t="shared" si="15"/>
        <v/>
      </c>
      <c r="J144" s="64">
        <f>ROUNDDOWN(計算シート!$B$11*0.5,0)</f>
        <v>0</v>
      </c>
      <c r="K144" s="64" t="str">
        <f>IF(AND(計算シート!$E$3='計算式あて（当初）'!C144,E144="○",G144="○",I144="○"),"☆","")</f>
        <v/>
      </c>
      <c r="L144" s="66" t="str">
        <f>IF(AND(計算シート!$E$5='計算式あて（当初）'!C144,E144="○",G144="○",I144="○"),"◇","")</f>
        <v/>
      </c>
    </row>
    <row r="145" spans="1:12">
      <c r="A145" s="25"/>
      <c r="B145" s="25"/>
      <c r="C145" s="24">
        <v>40391</v>
      </c>
      <c r="D145" s="23" t="s">
        <v>68</v>
      </c>
      <c r="E145" s="64" t="str">
        <f>IFERROR(IF(D145=計算シート!$B$7,"○",""),"")</f>
        <v/>
      </c>
      <c r="F145" s="23" t="s">
        <v>361</v>
      </c>
      <c r="G145" s="64" t="str">
        <f>IFERROR(IF(計算シート!$B$11&gt;13650,"○",""),"")</f>
        <v/>
      </c>
      <c r="H145" s="23" t="s">
        <v>363</v>
      </c>
      <c r="I145" s="64" t="str">
        <f t="shared" si="15"/>
        <v/>
      </c>
      <c r="J145" s="64">
        <v>6825</v>
      </c>
      <c r="K145" s="64" t="str">
        <f>IF(AND(計算シート!$E$3='計算式あて（当初）'!C145,E145="○",G145="○",I145="○"),"☆","")</f>
        <v/>
      </c>
      <c r="L145" s="66" t="str">
        <f>IF(AND(計算シート!$E$5='計算式あて（当初）'!C145,E145="○",G145="○",I145="○"),"◇","")</f>
        <v/>
      </c>
    </row>
    <row r="146" spans="1:12">
      <c r="A146" s="25"/>
      <c r="B146" s="25"/>
      <c r="C146" s="24">
        <v>40391</v>
      </c>
      <c r="D146" s="23" t="s">
        <v>69</v>
      </c>
      <c r="E146" s="64" t="str">
        <f>IFERROR(IF(D146=計算シート!$B$7,"○",""),"")</f>
        <v/>
      </c>
      <c r="F146" s="23" t="s">
        <v>358</v>
      </c>
      <c r="G146" s="64" t="str">
        <f>IFERROR(IF(AND(計算シート!$B$11&gt;=2000,計算シート!$B$11&lt;3950),"○",""),"")</f>
        <v/>
      </c>
      <c r="H146" s="23" t="s">
        <v>80</v>
      </c>
      <c r="I146" s="64" t="str">
        <f t="shared" si="15"/>
        <v/>
      </c>
      <c r="J146" s="64">
        <f>ROUNDDOWN(計算シート!$B$11*0.8,0)</f>
        <v>0</v>
      </c>
      <c r="K146" s="64" t="str">
        <f>IF(AND(計算シート!$E$3='計算式あて（当初）'!C146,E146="○",G146="○",I146="○"),"☆","")</f>
        <v/>
      </c>
      <c r="L146" s="66" t="str">
        <f>IF(AND(計算シート!$E$5='計算式あて（当初）'!C146,E146="○",G146="○",I146="○"),"◇","")</f>
        <v/>
      </c>
    </row>
    <row r="147" spans="1:12">
      <c r="A147" s="25"/>
      <c r="B147" s="25"/>
      <c r="C147" s="24">
        <v>40391</v>
      </c>
      <c r="D147" s="23" t="s">
        <v>69</v>
      </c>
      <c r="E147" s="64" t="str">
        <f>IFERROR(IF(D147=計算シート!$B$7,"○",""),"")</f>
        <v/>
      </c>
      <c r="F147" s="23" t="s">
        <v>562</v>
      </c>
      <c r="G147" s="64" t="str">
        <f>IFERROR(IF(AND(計算シート!$B$11&gt;=3950,計算シート!$B$11&lt;=11410),"○",""),"")</f>
        <v/>
      </c>
      <c r="H147" s="23" t="s">
        <v>359</v>
      </c>
      <c r="I147" s="64" t="str">
        <f t="shared" si="15"/>
        <v/>
      </c>
      <c r="J147" s="64">
        <f>ROUNDDOWN(0.8*計算シート!$B$11-0.3*((計算シート!$B$11-3950)/(11410-3950))*計算シート!$B$11,0)</f>
        <v>0</v>
      </c>
      <c r="K147" s="64" t="str">
        <f>IF(AND(計算シート!$E$3='計算式あて（当初）'!C147,E147="○",G147="○",I147="○"),"☆","")</f>
        <v/>
      </c>
      <c r="L147" s="66" t="str">
        <f>IF(AND(計算シート!$E$5='計算式あて（当初）'!C147,E147="○",G147="○",I147="○"),"◇","")</f>
        <v/>
      </c>
    </row>
    <row r="148" spans="1:12">
      <c r="A148" s="25"/>
      <c r="B148" s="25"/>
      <c r="C148" s="24">
        <v>40391</v>
      </c>
      <c r="D148" s="23" t="s">
        <v>69</v>
      </c>
      <c r="E148" s="64" t="str">
        <f>IFERROR(IF(D148=計算シート!$B$7,"○",""),"")</f>
        <v/>
      </c>
      <c r="F148" s="23" t="s">
        <v>565</v>
      </c>
      <c r="G148" s="64" t="str">
        <f>IFERROR(IF(AND(計算シート!$B$11&gt;11410,計算シート!$B$11&lt;=15010),"○",""),"")</f>
        <v/>
      </c>
      <c r="H148" s="23" t="s">
        <v>82</v>
      </c>
      <c r="I148" s="64" t="str">
        <f t="shared" si="15"/>
        <v/>
      </c>
      <c r="J148" s="64">
        <f>ROUNDDOWN(計算シート!$B$11*0.5,0)</f>
        <v>0</v>
      </c>
      <c r="K148" s="64" t="str">
        <f>IF(AND(計算シート!$E$3='計算式あて（当初）'!C148,E148="○",G148="○",I148="○"),"☆","")</f>
        <v/>
      </c>
      <c r="L148" s="66" t="str">
        <f>IF(AND(計算シート!$E$5='計算式あて（当初）'!C148,E148="○",G148="○",I148="○"),"◇","")</f>
        <v/>
      </c>
    </row>
    <row r="149" spans="1:12">
      <c r="A149" s="25"/>
      <c r="B149" s="25"/>
      <c r="C149" s="24">
        <v>40391</v>
      </c>
      <c r="D149" s="23" t="s">
        <v>69</v>
      </c>
      <c r="E149" s="64" t="str">
        <f>IFERROR(IF(D149=計算シート!$B$7,"○",""),"")</f>
        <v/>
      </c>
      <c r="F149" s="23" t="s">
        <v>93</v>
      </c>
      <c r="G149" s="64" t="str">
        <f>IFERROR(IF(計算シート!$B$11&gt;15010,"○",""),"")</f>
        <v/>
      </c>
      <c r="H149" s="23" t="s">
        <v>103</v>
      </c>
      <c r="I149" s="64" t="str">
        <f t="shared" si="15"/>
        <v/>
      </c>
      <c r="J149" s="64">
        <v>7505</v>
      </c>
      <c r="K149" s="64" t="str">
        <f>IF(AND(計算シート!$E$3='計算式あて（当初）'!C149,E149="○",G149="○",I149="○"),"☆","")</f>
        <v/>
      </c>
      <c r="L149" s="66" t="str">
        <f>IF(AND(計算シート!$E$5='計算式あて（当初）'!C149,E149="○",G149="○",I149="○"),"◇","")</f>
        <v/>
      </c>
    </row>
    <row r="150" spans="1:12">
      <c r="A150" s="25"/>
      <c r="B150" s="25"/>
      <c r="C150" s="24">
        <v>40391</v>
      </c>
      <c r="D150" s="23" t="s">
        <v>70</v>
      </c>
      <c r="E150" s="64" t="str">
        <f>IFERROR(IF(D150=計算シート!$B$7,"○",""),"")</f>
        <v/>
      </c>
      <c r="F150" s="23" t="s">
        <v>358</v>
      </c>
      <c r="G150" s="64" t="str">
        <f>IFERROR(IF(AND(計算シート!$B$11&gt;=2000,計算シート!$B$11&lt;3950),"○",""),"")</f>
        <v/>
      </c>
      <c r="H150" s="23" t="s">
        <v>80</v>
      </c>
      <c r="I150" s="64" t="str">
        <f t="shared" si="15"/>
        <v/>
      </c>
      <c r="J150" s="64">
        <f>ROUNDDOWN(計算シート!$B$11*0.8,0)</f>
        <v>0</v>
      </c>
      <c r="K150" s="64" t="str">
        <f>IF(AND(計算シート!$E$3='計算式あて（当初）'!C150,E150="○",G150="○",I150="○"),"☆","")</f>
        <v/>
      </c>
      <c r="L150" s="66" t="str">
        <f>IF(AND(計算シート!$E$5='計算式あて（当初）'!C150,E150="○",G150="○",I150="○"),"◇","")</f>
        <v/>
      </c>
    </row>
    <row r="151" spans="1:12">
      <c r="A151" s="25"/>
      <c r="B151" s="25"/>
      <c r="C151" s="24">
        <v>40391</v>
      </c>
      <c r="D151" s="23" t="s">
        <v>70</v>
      </c>
      <c r="E151" s="64" t="str">
        <f>IFERROR(IF(D151=計算シート!$B$7,"○",""),"")</f>
        <v/>
      </c>
      <c r="F151" s="23" t="s">
        <v>566</v>
      </c>
      <c r="G151" s="64" t="str">
        <f>IFERROR(IF(AND(計算シート!$B$11&gt;=3950,計算シート!$B$11&lt;=10230),"○",""),"")</f>
        <v/>
      </c>
      <c r="H151" s="23" t="s">
        <v>364</v>
      </c>
      <c r="I151" s="64" t="str">
        <f>IFERROR(IF(J151&lt;J152,"○",""),"")</f>
        <v>○</v>
      </c>
      <c r="J151" s="64">
        <f>ROUNDDOWN(0.8*計算シート!$B$11-0.35*((計算シート!$B$11-3950)/(10230-3950))*計算シート!$B$11,0)</f>
        <v>0</v>
      </c>
      <c r="K151" s="64" t="str">
        <f>IF(AND(計算シート!$E$3='計算式あて（当初）'!C151,E151="○",G151="○",I151="○"),"☆","")</f>
        <v/>
      </c>
      <c r="L151" s="66" t="str">
        <f>IF(AND(計算シート!$E$5='計算式あて（当初）'!C151,E151="○",G151="○",I151="○"),"◇","")</f>
        <v/>
      </c>
    </row>
    <row r="152" spans="1:12">
      <c r="A152" s="25"/>
      <c r="B152" s="25"/>
      <c r="C152" s="24">
        <v>40391</v>
      </c>
      <c r="D152" s="23" t="s">
        <v>70</v>
      </c>
      <c r="E152" s="64" t="str">
        <f>IFERROR(IF(D152=計算シート!$B$7,"○",""),"")</f>
        <v/>
      </c>
      <c r="F152" s="23" t="s">
        <v>566</v>
      </c>
      <c r="G152" s="64" t="str">
        <f>IFERROR(IF(AND(計算シート!$B$11&gt;=3950,計算シート!$B$11&lt;=10230),"○",""),"")</f>
        <v/>
      </c>
      <c r="H152" s="23" t="s">
        <v>365</v>
      </c>
      <c r="I152" s="64" t="str">
        <f>IFERROR(IF(J152&lt;J151,"○",""),"")</f>
        <v/>
      </c>
      <c r="J152" s="64">
        <f>ROUNDDOWN(計算シート!$B$11*0.05+(10230*0.4),0)</f>
        <v>4092</v>
      </c>
      <c r="K152" s="64" t="str">
        <f>IF(AND(計算シート!$E$3='計算式あて（当初）'!C152,E152="○",G152="○",I152="○"),"☆","")</f>
        <v/>
      </c>
      <c r="L152" s="66" t="str">
        <f>IF(AND(計算シート!$E$5='計算式あて（当初）'!C152,E152="○",G152="○",I152="○"),"◇","")</f>
        <v/>
      </c>
    </row>
    <row r="153" spans="1:12">
      <c r="A153" s="25"/>
      <c r="B153" s="25"/>
      <c r="C153" s="24">
        <v>40391</v>
      </c>
      <c r="D153" s="23" t="s">
        <v>70</v>
      </c>
      <c r="E153" s="64" t="str">
        <f>IFERROR(IF(D153=計算シート!$B$7,"○",""),"")</f>
        <v/>
      </c>
      <c r="F153" s="23" t="s">
        <v>366</v>
      </c>
      <c r="G153" s="64" t="str">
        <f>IFERROR(IF(AND(計算シート!$B$11&gt;10230,計算シート!$B$11&lt;=14540),"○",""),"")</f>
        <v/>
      </c>
      <c r="H153" s="23" t="s">
        <v>84</v>
      </c>
      <c r="I153" s="64" t="str">
        <f t="shared" ref="I153:I154" si="16">G153</f>
        <v/>
      </c>
      <c r="J153" s="64">
        <f>ROUNDDOWN(計算シート!$B$11*0.45,0)</f>
        <v>0</v>
      </c>
      <c r="K153" s="64" t="str">
        <f>IF(AND(計算シート!$E$3='計算式あて（当初）'!C153,E153="○",G153="○",I153="○"),"☆","")</f>
        <v/>
      </c>
      <c r="L153" s="66" t="str">
        <f>IF(AND(計算シート!$E$5='計算式あて（当初）'!C153,E153="○",G153="○",I153="○"),"◇","")</f>
        <v/>
      </c>
    </row>
    <row r="154" spans="1:12">
      <c r="A154" s="27"/>
      <c r="B154" s="28"/>
      <c r="C154" s="24">
        <v>40391</v>
      </c>
      <c r="D154" s="23" t="s">
        <v>70</v>
      </c>
      <c r="E154" s="64" t="str">
        <f>IFERROR(IF(D154=計算シート!$B$7,"○",""),"")</f>
        <v/>
      </c>
      <c r="F154" s="23" t="s">
        <v>367</v>
      </c>
      <c r="G154" s="64" t="str">
        <f>IFERROR(IF(計算シート!$B$11&gt;14540,"○",""),"")</f>
        <v/>
      </c>
      <c r="H154" s="23" t="s">
        <v>368</v>
      </c>
      <c r="I154" s="64" t="str">
        <f t="shared" si="16"/>
        <v/>
      </c>
      <c r="J154" s="64">
        <v>6543</v>
      </c>
      <c r="K154" s="64" t="str">
        <f>IF(AND(計算シート!$E$3='計算式あて（当初）'!C154,E154="○",G154="○",I154="○"),"☆","")</f>
        <v/>
      </c>
      <c r="L154" s="66" t="str">
        <f>IF(AND(計算シート!$E$5='計算式あて（当初）'!C154,E154="○",G154="○",I154="○"),"◇","")</f>
        <v/>
      </c>
    </row>
    <row r="155" spans="1:12" ht="27">
      <c r="A155" s="25"/>
      <c r="B155" s="26" t="s">
        <v>431</v>
      </c>
      <c r="C155" s="24">
        <v>40026</v>
      </c>
      <c r="D155" s="23" t="s">
        <v>67</v>
      </c>
      <c r="E155" s="64" t="str">
        <f>IFERROR(IF(D155=計算シート!$B$7,"○",""),"")</f>
        <v/>
      </c>
      <c r="F155" s="23" t="s">
        <v>369</v>
      </c>
      <c r="G155" s="64" t="str">
        <f>IFERROR(IF(AND(計算シート!$B$11&gt;=2050,計算シート!$B$11&lt;4040),"○",""),"")</f>
        <v/>
      </c>
      <c r="H155" s="23" t="s">
        <v>80</v>
      </c>
      <c r="I155" s="64" t="str">
        <f>G155</f>
        <v/>
      </c>
      <c r="J155" s="64">
        <f>ROUNDDOWN(計算シート!$B$11*0.8,0)</f>
        <v>0</v>
      </c>
      <c r="K155" s="64" t="str">
        <f>IF(AND(計算シート!$E$3='計算式あて（当初）'!C155,E155="○",G155="○",I155="○"),"☆","")</f>
        <v/>
      </c>
      <c r="L155" s="66" t="str">
        <f>IF(AND(計算シート!$E$5='計算式あて（当初）'!C155,E155="○",G155="○",I155="○"),"◇","")</f>
        <v/>
      </c>
    </row>
    <row r="156" spans="1:12">
      <c r="A156" s="25"/>
      <c r="B156" s="25"/>
      <c r="C156" s="24">
        <v>40026</v>
      </c>
      <c r="D156" s="23" t="s">
        <v>67</v>
      </c>
      <c r="E156" s="64" t="str">
        <f>IFERROR(IF(D156=計算シート!$B$7,"○",""),"")</f>
        <v/>
      </c>
      <c r="F156" s="23" t="s">
        <v>567</v>
      </c>
      <c r="G156" s="64" t="str">
        <f>IFERROR(IF(AND(計算シート!$B$11&gt;=4040,計算シート!$B$11&lt;=11680),"○",""),"")</f>
        <v/>
      </c>
      <c r="H156" s="23" t="s">
        <v>370</v>
      </c>
      <c r="I156" s="64" t="str">
        <f t="shared" ref="I156:I167" si="17">G156</f>
        <v/>
      </c>
      <c r="J156" s="64">
        <f>ROUNDDOWN(0.8*計算シート!$B$11-0.3*((計算シート!$B$11-4040)/(11680-4040))*計算シート!$B$11,0)</f>
        <v>0</v>
      </c>
      <c r="K156" s="64" t="str">
        <f>IF(AND(計算シート!$E$3='計算式あて（当初）'!C156,E156="○",G156="○",I156="○"),"☆","")</f>
        <v/>
      </c>
      <c r="L156" s="66" t="str">
        <f>IF(AND(計算シート!$E$5='計算式あて（当初）'!C156,E156="○",G156="○",I156="○"),"◇","")</f>
        <v/>
      </c>
    </row>
    <row r="157" spans="1:12">
      <c r="A157" s="25"/>
      <c r="B157" s="25"/>
      <c r="C157" s="24">
        <v>40026</v>
      </c>
      <c r="D157" s="23" t="s">
        <v>67</v>
      </c>
      <c r="E157" s="64" t="str">
        <f>IFERROR(IF(D157=計算シート!$B$7,"○",""),"")</f>
        <v/>
      </c>
      <c r="F157" s="23" t="s">
        <v>568</v>
      </c>
      <c r="G157" s="64" t="str">
        <f>IFERROR(IF(AND(計算シート!$B$11&gt;11680,計算シート!$B$11&lt;=12580),"○",""),"")</f>
        <v/>
      </c>
      <c r="H157" s="23" t="s">
        <v>82</v>
      </c>
      <c r="I157" s="64" t="str">
        <f t="shared" si="17"/>
        <v/>
      </c>
      <c r="J157" s="64">
        <f>ROUNDDOWN(計算シート!$B$11*0.5,0)</f>
        <v>0</v>
      </c>
      <c r="K157" s="64" t="str">
        <f>IF(AND(計算シート!$E$3='計算式あて（当初）'!C157,E157="○",G157="○",I157="○"),"☆","")</f>
        <v/>
      </c>
      <c r="L157" s="66" t="str">
        <f>IF(AND(計算シート!$E$5='計算式あて（当初）'!C157,E157="○",G157="○",I157="○"),"◇","")</f>
        <v/>
      </c>
    </row>
    <row r="158" spans="1:12">
      <c r="A158" s="25"/>
      <c r="B158" s="25"/>
      <c r="C158" s="24">
        <v>40026</v>
      </c>
      <c r="D158" s="23" t="s">
        <v>67</v>
      </c>
      <c r="E158" s="64" t="str">
        <f>IFERROR(IF(D158=計算シート!$B$7,"○",""),"")</f>
        <v/>
      </c>
      <c r="F158" s="23" t="s">
        <v>371</v>
      </c>
      <c r="G158" s="64" t="str">
        <f>IFERROR(IF(計算シート!$B$11&gt;12580,"○",""),"")</f>
        <v/>
      </c>
      <c r="H158" s="23" t="s">
        <v>374</v>
      </c>
      <c r="I158" s="64" t="str">
        <f t="shared" si="17"/>
        <v/>
      </c>
      <c r="J158" s="64">
        <v>6290</v>
      </c>
      <c r="K158" s="64" t="str">
        <f>IF(AND(計算シート!$E$3='計算式あて（当初）'!C158,E158="○",G158="○",I158="○"),"☆","")</f>
        <v/>
      </c>
      <c r="L158" s="66" t="str">
        <f>IF(AND(計算シート!$E$5='計算式あて（当初）'!C158,E158="○",G158="○",I158="○"),"◇","")</f>
        <v/>
      </c>
    </row>
    <row r="159" spans="1:12">
      <c r="A159" s="25"/>
      <c r="B159" s="25"/>
      <c r="C159" s="24">
        <v>40026</v>
      </c>
      <c r="D159" s="23" t="s">
        <v>68</v>
      </c>
      <c r="E159" s="64" t="str">
        <f>IFERROR(IF(D159=計算シート!$B$7,"○",""),"")</f>
        <v/>
      </c>
      <c r="F159" s="23" t="s">
        <v>369</v>
      </c>
      <c r="G159" s="64" t="str">
        <f>IFERROR(IF(AND(計算シート!$B$11&gt;=2050,計算シート!$B$11&lt;4040),"○",""),"")</f>
        <v/>
      </c>
      <c r="H159" s="23" t="s">
        <v>80</v>
      </c>
      <c r="I159" s="64" t="str">
        <f t="shared" si="17"/>
        <v/>
      </c>
      <c r="J159" s="64">
        <f>ROUNDDOWN(計算シート!$B$11*0.8,0)</f>
        <v>0</v>
      </c>
      <c r="K159" s="64" t="str">
        <f>IF(AND(計算シート!$E$3='計算式あて（当初）'!C159,E159="○",G159="○",I159="○"),"☆","")</f>
        <v/>
      </c>
      <c r="L159" s="66" t="str">
        <f>IF(AND(計算シート!$E$5='計算式あて（当初）'!C159,E159="○",G159="○",I159="○"),"◇","")</f>
        <v/>
      </c>
    </row>
    <row r="160" spans="1:12">
      <c r="A160" s="25"/>
      <c r="B160" s="25"/>
      <c r="C160" s="24">
        <v>40026</v>
      </c>
      <c r="D160" s="23" t="s">
        <v>68</v>
      </c>
      <c r="E160" s="64" t="str">
        <f>IFERROR(IF(D160=計算シート!$B$7,"○",""),"")</f>
        <v/>
      </c>
      <c r="F160" s="23" t="s">
        <v>567</v>
      </c>
      <c r="G160" s="64" t="str">
        <f>IFERROR(IF(AND(計算シート!$B$11&gt;=4040,計算シート!$B$11&lt;=11680),"○",""),"")</f>
        <v/>
      </c>
      <c r="H160" s="23" t="s">
        <v>370</v>
      </c>
      <c r="I160" s="64" t="str">
        <f t="shared" si="17"/>
        <v/>
      </c>
      <c r="J160" s="64">
        <f>ROUNDDOWN(0.8*計算シート!$B$11-0.3*((計算シート!$B$11-4040)/(11680-4040))*計算シート!$B$11,0)</f>
        <v>0</v>
      </c>
      <c r="K160" s="64" t="str">
        <f>IF(AND(計算シート!$E$3='計算式あて（当初）'!C160,E160="○",G160="○",I160="○"),"☆","")</f>
        <v/>
      </c>
      <c r="L160" s="66" t="str">
        <f>IF(AND(計算シート!$E$5='計算式あて（当初）'!C160,E160="○",G160="○",I160="○"),"◇","")</f>
        <v/>
      </c>
    </row>
    <row r="161" spans="1:12">
      <c r="A161" s="25"/>
      <c r="B161" s="25"/>
      <c r="C161" s="24">
        <v>40026</v>
      </c>
      <c r="D161" s="23" t="s">
        <v>68</v>
      </c>
      <c r="E161" s="64" t="str">
        <f>IFERROR(IF(D161=計算シート!$B$7,"○",""),"")</f>
        <v/>
      </c>
      <c r="F161" s="23" t="s">
        <v>569</v>
      </c>
      <c r="G161" s="64" t="str">
        <f>IFERROR(IF(AND(計算シート!$B$11&gt;11680,計算シート!$B$11&lt;=13980),"○",""),"")</f>
        <v/>
      </c>
      <c r="H161" s="23" t="s">
        <v>82</v>
      </c>
      <c r="I161" s="64" t="str">
        <f t="shared" si="17"/>
        <v/>
      </c>
      <c r="J161" s="64">
        <f>ROUNDDOWN(計算シート!$B$11*0.5,0)</f>
        <v>0</v>
      </c>
      <c r="K161" s="64" t="str">
        <f>IF(AND(計算シート!$E$3='計算式あて（当初）'!C161,E161="○",G161="○",I161="○"),"☆","")</f>
        <v/>
      </c>
      <c r="L161" s="66" t="str">
        <f>IF(AND(計算シート!$E$5='計算式あて（当初）'!C161,E161="○",G161="○",I161="○"),"◇","")</f>
        <v/>
      </c>
    </row>
    <row r="162" spans="1:12">
      <c r="A162" s="25"/>
      <c r="B162" s="25"/>
      <c r="C162" s="24">
        <v>40026</v>
      </c>
      <c r="D162" s="23" t="s">
        <v>68</v>
      </c>
      <c r="E162" s="64" t="str">
        <f>IFERROR(IF(D162=計算シート!$B$7,"○",""),"")</f>
        <v/>
      </c>
      <c r="F162" s="23" t="s">
        <v>372</v>
      </c>
      <c r="G162" s="64" t="str">
        <f>IFERROR(IF(計算シート!$B$11&gt;13980,"○",""),"")</f>
        <v/>
      </c>
      <c r="H162" s="23" t="s">
        <v>375</v>
      </c>
      <c r="I162" s="64" t="str">
        <f t="shared" si="17"/>
        <v/>
      </c>
      <c r="J162" s="64">
        <v>6990</v>
      </c>
      <c r="K162" s="64" t="str">
        <f>IF(AND(計算シート!$E$3='計算式あて（当初）'!C162,E162="○",G162="○",I162="○"),"☆","")</f>
        <v/>
      </c>
      <c r="L162" s="66" t="str">
        <f>IF(AND(計算シート!$E$5='計算式あて（当初）'!C162,E162="○",G162="○",I162="○"),"◇","")</f>
        <v/>
      </c>
    </row>
    <row r="163" spans="1:12">
      <c r="A163" s="25"/>
      <c r="B163" s="25"/>
      <c r="C163" s="24">
        <v>40026</v>
      </c>
      <c r="D163" s="23" t="s">
        <v>69</v>
      </c>
      <c r="E163" s="64" t="str">
        <f>IFERROR(IF(D163=計算シート!$B$7,"○",""),"")</f>
        <v/>
      </c>
      <c r="F163" s="23" t="s">
        <v>369</v>
      </c>
      <c r="G163" s="64" t="str">
        <f>IFERROR(IF(AND(計算シート!$B$11&gt;=2050,計算シート!$B$11&lt;4040),"○",""),"")</f>
        <v/>
      </c>
      <c r="H163" s="23" t="s">
        <v>80</v>
      </c>
      <c r="I163" s="64" t="str">
        <f t="shared" si="17"/>
        <v/>
      </c>
      <c r="J163" s="64">
        <f>ROUNDDOWN(計算シート!$B$11*0.8,0)</f>
        <v>0</v>
      </c>
      <c r="K163" s="64" t="str">
        <f>IF(AND(計算シート!$E$3='計算式あて（当初）'!C163,E163="○",G163="○",I163="○"),"☆","")</f>
        <v/>
      </c>
      <c r="L163" s="66" t="str">
        <f>IF(AND(計算シート!$E$5='計算式あて（当初）'!C163,E163="○",G163="○",I163="○"),"◇","")</f>
        <v/>
      </c>
    </row>
    <row r="164" spans="1:12">
      <c r="A164" s="25"/>
      <c r="B164" s="25"/>
      <c r="C164" s="24">
        <v>40026</v>
      </c>
      <c r="D164" s="23" t="s">
        <v>69</v>
      </c>
      <c r="E164" s="64" t="str">
        <f>IFERROR(IF(D164=計算シート!$B$7,"○",""),"")</f>
        <v/>
      </c>
      <c r="F164" s="23" t="s">
        <v>567</v>
      </c>
      <c r="G164" s="64" t="str">
        <f>IFERROR(IF(AND(計算シート!$B$11&gt;=4040,計算シート!$B$11&lt;=11680),"○",""),"")</f>
        <v/>
      </c>
      <c r="H164" s="23" t="s">
        <v>370</v>
      </c>
      <c r="I164" s="64" t="str">
        <f t="shared" si="17"/>
        <v/>
      </c>
      <c r="J164" s="64">
        <f>ROUNDDOWN(0.8*計算シート!$B$11-0.3*((計算シート!$B$11-4040)/(11680-4040))*計算シート!$B$11,0)</f>
        <v>0</v>
      </c>
      <c r="K164" s="64" t="str">
        <f>IF(AND(計算シート!$E$3='計算式あて（当初）'!C164,E164="○",G164="○",I164="○"),"☆","")</f>
        <v/>
      </c>
      <c r="L164" s="66" t="str">
        <f>IF(AND(計算シート!$E$5='計算式あて（当初）'!C164,E164="○",G164="○",I164="○"),"◇","")</f>
        <v/>
      </c>
    </row>
    <row r="165" spans="1:12">
      <c r="A165" s="25"/>
      <c r="B165" s="25"/>
      <c r="C165" s="24">
        <v>40026</v>
      </c>
      <c r="D165" s="23" t="s">
        <v>69</v>
      </c>
      <c r="E165" s="64" t="str">
        <f>IFERROR(IF(D165=計算シート!$B$7,"○",""),"")</f>
        <v/>
      </c>
      <c r="F165" s="23" t="s">
        <v>570</v>
      </c>
      <c r="G165" s="64" t="str">
        <f>IFERROR(IF(AND(計算シート!$B$11&gt;11680,計算シート!$B$11&lt;=15370),"○",""),"")</f>
        <v/>
      </c>
      <c r="H165" s="23" t="s">
        <v>82</v>
      </c>
      <c r="I165" s="64" t="str">
        <f t="shared" si="17"/>
        <v/>
      </c>
      <c r="J165" s="64">
        <f>ROUNDDOWN(計算シート!$B$11*0.5,0)</f>
        <v>0</v>
      </c>
      <c r="K165" s="64" t="str">
        <f>IF(AND(計算シート!$E$3='計算式あて（当初）'!C165,E165="○",G165="○",I165="○"),"☆","")</f>
        <v/>
      </c>
      <c r="L165" s="66" t="str">
        <f>IF(AND(計算シート!$E$5='計算式あて（当初）'!C165,E165="○",G165="○",I165="○"),"◇","")</f>
        <v/>
      </c>
    </row>
    <row r="166" spans="1:12">
      <c r="A166" s="25"/>
      <c r="B166" s="25"/>
      <c r="C166" s="24">
        <v>40026</v>
      </c>
      <c r="D166" s="23" t="s">
        <v>69</v>
      </c>
      <c r="E166" s="64" t="str">
        <f>IFERROR(IF(D166=計算シート!$B$7,"○",""),"")</f>
        <v/>
      </c>
      <c r="F166" s="23" t="s">
        <v>373</v>
      </c>
      <c r="G166" s="64" t="str">
        <f>IFERROR(IF(計算シート!$B$11&gt;15370,"○",""),"")</f>
        <v/>
      </c>
      <c r="H166" s="23" t="s">
        <v>376</v>
      </c>
      <c r="I166" s="64" t="str">
        <f t="shared" si="17"/>
        <v/>
      </c>
      <c r="J166" s="64">
        <v>7685</v>
      </c>
      <c r="K166" s="64" t="str">
        <f>IF(AND(計算シート!$E$3='計算式あて（当初）'!C166,E166="○",G166="○",I166="○"),"☆","")</f>
        <v/>
      </c>
      <c r="L166" s="66" t="str">
        <f>IF(AND(計算シート!$E$5='計算式あて（当初）'!C166,E166="○",G166="○",I166="○"),"◇","")</f>
        <v/>
      </c>
    </row>
    <row r="167" spans="1:12">
      <c r="A167" s="25"/>
      <c r="B167" s="25"/>
      <c r="C167" s="24">
        <v>40026</v>
      </c>
      <c r="D167" s="23" t="s">
        <v>70</v>
      </c>
      <c r="E167" s="64" t="str">
        <f>IFERROR(IF(D167=計算シート!$B$7,"○",""),"")</f>
        <v/>
      </c>
      <c r="F167" s="23" t="s">
        <v>369</v>
      </c>
      <c r="G167" s="64" t="str">
        <f>IFERROR(IF(AND(計算シート!$B$11&gt;=2050,計算シート!$B$11&lt;4040),"○",""),"")</f>
        <v/>
      </c>
      <c r="H167" s="23" t="s">
        <v>80</v>
      </c>
      <c r="I167" s="64" t="str">
        <f t="shared" si="17"/>
        <v/>
      </c>
      <c r="J167" s="64">
        <f>ROUNDDOWN(計算シート!$B$11*0.8,0)</f>
        <v>0</v>
      </c>
      <c r="K167" s="64" t="str">
        <f>IF(AND(計算シート!$E$3='計算式あて（当初）'!C167,E167="○",G167="○",I167="○"),"☆","")</f>
        <v/>
      </c>
      <c r="L167" s="66" t="str">
        <f>IF(AND(計算シート!$E$5='計算式あて（当初）'!C167,E167="○",G167="○",I167="○"),"◇","")</f>
        <v/>
      </c>
    </row>
    <row r="168" spans="1:12">
      <c r="A168" s="25"/>
      <c r="B168" s="25"/>
      <c r="C168" s="24">
        <v>40026</v>
      </c>
      <c r="D168" s="23" t="s">
        <v>70</v>
      </c>
      <c r="E168" s="64" t="str">
        <f>IFERROR(IF(D168=計算シート!$B$7,"○",""),"")</f>
        <v/>
      </c>
      <c r="F168" s="23" t="s">
        <v>571</v>
      </c>
      <c r="G168" s="64" t="str">
        <f>IFERROR(IF(AND(計算シート!$B$11&gt;=4040,計算シート!$B$11&lt;=10470),"○",""),"")</f>
        <v/>
      </c>
      <c r="H168" s="23" t="s">
        <v>377</v>
      </c>
      <c r="I168" s="64" t="str">
        <f>IFERROR(IF(J168&lt;J169,"○",""),"")</f>
        <v>○</v>
      </c>
      <c r="J168" s="64">
        <f>ROUNDDOWN(0.8*計算シート!$B$11-0.35*((計算シート!$B$11-4040)/(10470-4040))*計算シート!$B$11,0)</f>
        <v>0</v>
      </c>
      <c r="K168" s="64" t="str">
        <f>IF(AND(計算シート!$E$3='計算式あて（当初）'!C168,E168="○",G168="○",I168="○"),"☆","")</f>
        <v/>
      </c>
      <c r="L168" s="66" t="str">
        <f>IF(AND(計算シート!$E$5='計算式あて（当初）'!C168,E168="○",G168="○",I168="○"),"◇","")</f>
        <v/>
      </c>
    </row>
    <row r="169" spans="1:12">
      <c r="A169" s="25"/>
      <c r="B169" s="25"/>
      <c r="C169" s="24">
        <v>40026</v>
      </c>
      <c r="D169" s="23" t="s">
        <v>70</v>
      </c>
      <c r="E169" s="64" t="str">
        <f>IFERROR(IF(D169=計算シート!$B$7,"○",""),"")</f>
        <v/>
      </c>
      <c r="F169" s="23" t="s">
        <v>571</v>
      </c>
      <c r="G169" s="64" t="str">
        <f>IFERROR(IF(AND(計算シート!$B$11&gt;=4040,計算シート!$B$11&lt;=10470),"○",""),"")</f>
        <v/>
      </c>
      <c r="H169" s="23" t="s">
        <v>378</v>
      </c>
      <c r="I169" s="64" t="str">
        <f>IFERROR(IF(J169&lt;J168,"○",""),"")</f>
        <v/>
      </c>
      <c r="J169" s="64">
        <f>ROUNDDOWN(計算シート!$B$11*0.05+(10470*0.4),0)</f>
        <v>4188</v>
      </c>
      <c r="K169" s="64" t="str">
        <f>IF(AND(計算シート!$E$3='計算式あて（当初）'!C169,E169="○",G169="○",I169="○"),"☆","")</f>
        <v/>
      </c>
      <c r="L169" s="66" t="str">
        <f>IF(AND(計算シート!$E$5='計算式あて（当初）'!C169,E169="○",G169="○",I169="○"),"◇","")</f>
        <v/>
      </c>
    </row>
    <row r="170" spans="1:12">
      <c r="A170" s="25"/>
      <c r="B170" s="25"/>
      <c r="C170" s="24">
        <v>40026</v>
      </c>
      <c r="D170" s="23" t="s">
        <v>70</v>
      </c>
      <c r="E170" s="64" t="str">
        <f>IFERROR(IF(D170=計算シート!$B$7,"○",""),"")</f>
        <v/>
      </c>
      <c r="F170" s="23" t="s">
        <v>379</v>
      </c>
      <c r="G170" s="64" t="str">
        <f>IFERROR(IF(AND(計算シート!$B$11&gt;10470,計算シート!$B$11&lt;=14890),"○",""),"")</f>
        <v/>
      </c>
      <c r="H170" s="23" t="s">
        <v>84</v>
      </c>
      <c r="I170" s="64" t="str">
        <f t="shared" ref="I170:I171" si="18">G170</f>
        <v/>
      </c>
      <c r="J170" s="64">
        <f>ROUNDDOWN(計算シート!$B$11*0.45,0)</f>
        <v>0</v>
      </c>
      <c r="K170" s="64" t="str">
        <f>IF(AND(計算シート!$E$3='計算式あて（当初）'!C170,E170="○",G170="○",I170="○"),"☆","")</f>
        <v/>
      </c>
      <c r="L170" s="66" t="str">
        <f>IF(AND(計算シート!$E$5='計算式あて（当初）'!C170,E170="○",G170="○",I170="○"),"◇","")</f>
        <v/>
      </c>
    </row>
    <row r="171" spans="1:12">
      <c r="A171" s="27"/>
      <c r="B171" s="28"/>
      <c r="C171" s="24">
        <v>40026</v>
      </c>
      <c r="D171" s="23" t="s">
        <v>70</v>
      </c>
      <c r="E171" s="64" t="str">
        <f>IFERROR(IF(D171=計算シート!$B$7,"○",""),"")</f>
        <v/>
      </c>
      <c r="F171" s="23" t="s">
        <v>380</v>
      </c>
      <c r="G171" s="64" t="str">
        <f>IFERROR(IF(計算シート!$B$11&gt;14890,"○",""),"")</f>
        <v/>
      </c>
      <c r="H171" s="23" t="s">
        <v>381</v>
      </c>
      <c r="I171" s="64" t="str">
        <f t="shared" si="18"/>
        <v/>
      </c>
      <c r="J171" s="64">
        <v>6700</v>
      </c>
      <c r="K171" s="64" t="str">
        <f>IF(AND(計算シート!$E$3='計算式あて（当初）'!C171,E171="○",G171="○",I171="○"),"☆","")</f>
        <v/>
      </c>
      <c r="L171" s="66" t="str">
        <f>IF(AND(計算シート!$E$5='計算式あて（当初）'!C171,E171="○",G171="○",I171="○"),"◇","")</f>
        <v/>
      </c>
    </row>
    <row r="172" spans="1:12" ht="27">
      <c r="A172" s="25"/>
      <c r="B172" s="26" t="s">
        <v>432</v>
      </c>
      <c r="C172" s="24">
        <v>39661</v>
      </c>
      <c r="D172" s="23" t="s">
        <v>67</v>
      </c>
      <c r="E172" s="64" t="str">
        <f>IFERROR(IF(D172=計算シート!$B$7,"○",""),"")</f>
        <v/>
      </c>
      <c r="F172" s="23" t="s">
        <v>234</v>
      </c>
      <c r="G172" s="64" t="str">
        <f>IFERROR(IF(AND(計算シート!$B$11&gt;=2060,計算シート!$B$11&lt;4060),"○",""),"")</f>
        <v/>
      </c>
      <c r="H172" s="23" t="s">
        <v>80</v>
      </c>
      <c r="I172" s="64" t="str">
        <f>G172</f>
        <v/>
      </c>
      <c r="J172" s="64">
        <f>ROUNDDOWN(計算シート!$B$11*0.8,0)</f>
        <v>0</v>
      </c>
      <c r="K172" s="64" t="str">
        <f>IF(AND(計算シート!$E$3='計算式あて（当初）'!C172,E172="○",G172="○",I172="○"),"☆","")</f>
        <v/>
      </c>
      <c r="L172" s="66" t="str">
        <f>IF(AND(計算シート!$E$5='計算式あて（当初）'!C172,E172="○",G172="○",I172="○"),"◇","")</f>
        <v/>
      </c>
    </row>
    <row r="173" spans="1:12">
      <c r="A173" s="25"/>
      <c r="B173" s="25"/>
      <c r="C173" s="24">
        <v>39661</v>
      </c>
      <c r="D173" s="23" t="s">
        <v>67</v>
      </c>
      <c r="E173" s="64" t="str">
        <f>IFERROR(IF(D173=計算シート!$B$7,"○",""),"")</f>
        <v/>
      </c>
      <c r="F173" s="23" t="s">
        <v>572</v>
      </c>
      <c r="G173" s="64" t="str">
        <f>IFERROR(IF(AND(計算シート!$B$11&gt;=4060,計算シート!$B$11&lt;=11750),"○",""),"")</f>
        <v/>
      </c>
      <c r="H173" s="23" t="s">
        <v>382</v>
      </c>
      <c r="I173" s="64" t="str">
        <f t="shared" ref="I173:I184" si="19">G173</f>
        <v/>
      </c>
      <c r="J173" s="64">
        <f>ROUNDDOWN(0.8*計算シート!$B$11-0.3*((計算シート!$B$11-4060)/(11750-4060))*計算シート!$B$11,0)</f>
        <v>0</v>
      </c>
      <c r="K173" s="64" t="str">
        <f>IF(AND(計算シート!$E$3='計算式あて（当初）'!C173,E173="○",G173="○",I173="○"),"☆","")</f>
        <v/>
      </c>
      <c r="L173" s="66" t="str">
        <f>IF(AND(計算シート!$E$5='計算式あて（当初）'!C173,E173="○",G173="○",I173="○"),"◇","")</f>
        <v/>
      </c>
    </row>
    <row r="174" spans="1:12">
      <c r="A174" s="25"/>
      <c r="B174" s="25"/>
      <c r="C174" s="24">
        <v>39661</v>
      </c>
      <c r="D174" s="23" t="s">
        <v>67</v>
      </c>
      <c r="E174" s="64" t="str">
        <f>IFERROR(IF(D174=計算シート!$B$7,"○",""),"")</f>
        <v/>
      </c>
      <c r="F174" s="23" t="s">
        <v>573</v>
      </c>
      <c r="G174" s="64" t="str">
        <f>IFERROR(IF(AND(計算シート!$B$11&gt;11750,計算シート!$B$11&lt;=12660),"○",""),"")</f>
        <v/>
      </c>
      <c r="H174" s="23" t="s">
        <v>82</v>
      </c>
      <c r="I174" s="64" t="str">
        <f t="shared" si="19"/>
        <v/>
      </c>
      <c r="J174" s="64">
        <f>ROUNDDOWN(計算シート!$B$11*0.5,0)</f>
        <v>0</v>
      </c>
      <c r="K174" s="64" t="str">
        <f>IF(AND(計算シート!$E$3='計算式あて（当初）'!C174,E174="○",G174="○",I174="○"),"☆","")</f>
        <v/>
      </c>
      <c r="L174" s="66" t="str">
        <f>IF(AND(計算シート!$E$5='計算式あて（当初）'!C174,E174="○",G174="○",I174="○"),"◇","")</f>
        <v/>
      </c>
    </row>
    <row r="175" spans="1:12">
      <c r="A175" s="25"/>
      <c r="B175" s="25"/>
      <c r="C175" s="24">
        <v>39661</v>
      </c>
      <c r="D175" s="23" t="s">
        <v>67</v>
      </c>
      <c r="E175" s="64" t="str">
        <f>IFERROR(IF(D175=計算シート!$B$7,"○",""),"")</f>
        <v/>
      </c>
      <c r="F175" s="23" t="s">
        <v>241</v>
      </c>
      <c r="G175" s="64" t="str">
        <f>IFERROR(IF(計算シート!$B$11&gt;12660,"○",""),"")</f>
        <v/>
      </c>
      <c r="H175" s="23" t="s">
        <v>245</v>
      </c>
      <c r="I175" s="64" t="str">
        <f t="shared" si="19"/>
        <v/>
      </c>
      <c r="J175" s="64">
        <v>6330</v>
      </c>
      <c r="K175" s="64" t="str">
        <f>IF(AND(計算シート!$E$3='計算式あて（当初）'!C175,E175="○",G175="○",I175="○"),"☆","")</f>
        <v/>
      </c>
      <c r="L175" s="66" t="str">
        <f>IF(AND(計算シート!$E$5='計算式あて（当初）'!C175,E175="○",G175="○",I175="○"),"◇","")</f>
        <v/>
      </c>
    </row>
    <row r="176" spans="1:12">
      <c r="A176" s="25"/>
      <c r="B176" s="25"/>
      <c r="C176" s="24">
        <v>39661</v>
      </c>
      <c r="D176" s="23" t="s">
        <v>68</v>
      </c>
      <c r="E176" s="64" t="str">
        <f>IFERROR(IF(D176=計算シート!$B$7,"○",""),"")</f>
        <v/>
      </c>
      <c r="F176" s="23" t="s">
        <v>234</v>
      </c>
      <c r="G176" s="64" t="str">
        <f>IFERROR(IF(AND(計算シート!$B$11&gt;=2060,計算シート!$B$11&lt;4060),"○",""),"")</f>
        <v/>
      </c>
      <c r="H176" s="23" t="s">
        <v>80</v>
      </c>
      <c r="I176" s="64" t="str">
        <f t="shared" si="19"/>
        <v/>
      </c>
      <c r="J176" s="64">
        <f>ROUNDDOWN(計算シート!$B$11*0.8,0)</f>
        <v>0</v>
      </c>
      <c r="K176" s="64" t="str">
        <f>IF(AND(計算シート!$E$3='計算式あて（当初）'!C176,E176="○",G176="○",I176="○"),"☆","")</f>
        <v/>
      </c>
      <c r="L176" s="66" t="str">
        <f>IF(AND(計算シート!$E$5='計算式あて（当初）'!C176,E176="○",G176="○",I176="○"),"◇","")</f>
        <v/>
      </c>
    </row>
    <row r="177" spans="1:12">
      <c r="A177" s="25"/>
      <c r="B177" s="25"/>
      <c r="C177" s="24">
        <v>39661</v>
      </c>
      <c r="D177" s="23" t="s">
        <v>68</v>
      </c>
      <c r="E177" s="64" t="str">
        <f>IFERROR(IF(D177=計算シート!$B$7,"○",""),"")</f>
        <v/>
      </c>
      <c r="F177" s="23" t="s">
        <v>572</v>
      </c>
      <c r="G177" s="64" t="str">
        <f>IFERROR(IF(AND(計算シート!$B$11&gt;=4060,計算シート!$B$11&lt;=11750),"○",""),"")</f>
        <v/>
      </c>
      <c r="H177" s="23" t="s">
        <v>382</v>
      </c>
      <c r="I177" s="64" t="str">
        <f t="shared" si="19"/>
        <v/>
      </c>
      <c r="J177" s="64">
        <f>ROUNDDOWN(0.8*計算シート!$B$11-0.3*((計算シート!$B$11-4060)/(11750-4060))*計算シート!$B$11,0)</f>
        <v>0</v>
      </c>
      <c r="K177" s="64" t="str">
        <f>IF(AND(計算シート!$E$3='計算式あて（当初）'!C177,E177="○",G177="○",I177="○"),"☆","")</f>
        <v/>
      </c>
      <c r="L177" s="66" t="str">
        <f>IF(AND(計算シート!$E$5='計算式あて（当初）'!C177,E177="○",G177="○",I177="○"),"◇","")</f>
        <v/>
      </c>
    </row>
    <row r="178" spans="1:12">
      <c r="A178" s="25"/>
      <c r="B178" s="25"/>
      <c r="C178" s="24">
        <v>39661</v>
      </c>
      <c r="D178" s="23" t="s">
        <v>68</v>
      </c>
      <c r="E178" s="64" t="str">
        <f>IFERROR(IF(D178=計算シート!$B$7,"○",""),"")</f>
        <v/>
      </c>
      <c r="F178" s="23" t="s">
        <v>574</v>
      </c>
      <c r="G178" s="64" t="str">
        <f>IFERROR(IF(AND(計算シート!$B$11&gt;11750,計算シート!$B$11&lt;=14060),"○",""),"")</f>
        <v/>
      </c>
      <c r="H178" s="23" t="s">
        <v>82</v>
      </c>
      <c r="I178" s="64" t="str">
        <f t="shared" si="19"/>
        <v/>
      </c>
      <c r="J178" s="64">
        <f>ROUNDDOWN(計算シート!$B$11*0.5,0)</f>
        <v>0</v>
      </c>
      <c r="K178" s="64" t="str">
        <f>IF(AND(計算シート!$E$3='計算式あて（当初）'!C178,E178="○",G178="○",I178="○"),"☆","")</f>
        <v/>
      </c>
      <c r="L178" s="66" t="str">
        <f>IF(AND(計算シート!$E$5='計算式あて（当初）'!C178,E178="○",G178="○",I178="○"),"◇","")</f>
        <v/>
      </c>
    </row>
    <row r="179" spans="1:12">
      <c r="A179" s="25"/>
      <c r="B179" s="25"/>
      <c r="C179" s="24">
        <v>39661</v>
      </c>
      <c r="D179" s="23" t="s">
        <v>68</v>
      </c>
      <c r="E179" s="64" t="str">
        <f>IFERROR(IF(D179=計算シート!$B$7,"○",""),"")</f>
        <v/>
      </c>
      <c r="F179" s="23" t="s">
        <v>236</v>
      </c>
      <c r="G179" s="64" t="str">
        <f>IFERROR(IF(計算シート!$B$11&gt;14060,"○",""),"")</f>
        <v/>
      </c>
      <c r="H179" s="23" t="s">
        <v>242</v>
      </c>
      <c r="I179" s="64" t="str">
        <f t="shared" si="19"/>
        <v/>
      </c>
      <c r="J179" s="64">
        <v>7030</v>
      </c>
      <c r="K179" s="64" t="str">
        <f>IF(AND(計算シート!$E$3='計算式あて（当初）'!C179,E179="○",G179="○",I179="○"),"☆","")</f>
        <v/>
      </c>
      <c r="L179" s="66" t="str">
        <f>IF(AND(計算シート!$E$5='計算式あて（当初）'!C179,E179="○",G179="○",I179="○"),"◇","")</f>
        <v/>
      </c>
    </row>
    <row r="180" spans="1:12">
      <c r="A180" s="25"/>
      <c r="B180" s="25"/>
      <c r="C180" s="24">
        <v>39661</v>
      </c>
      <c r="D180" s="23" t="s">
        <v>69</v>
      </c>
      <c r="E180" s="64" t="str">
        <f>IFERROR(IF(D180=計算シート!$B$7,"○",""),"")</f>
        <v/>
      </c>
      <c r="F180" s="23" t="s">
        <v>234</v>
      </c>
      <c r="G180" s="64" t="str">
        <f>IFERROR(IF(AND(計算シート!$B$11&gt;=2060,計算シート!$B$11&lt;4060),"○",""),"")</f>
        <v/>
      </c>
      <c r="H180" s="23" t="s">
        <v>80</v>
      </c>
      <c r="I180" s="64" t="str">
        <f t="shared" si="19"/>
        <v/>
      </c>
      <c r="J180" s="64">
        <f>ROUNDDOWN(計算シート!$B$11*0.8,0)</f>
        <v>0</v>
      </c>
      <c r="K180" s="64" t="str">
        <f>IF(AND(計算シート!$E$3='計算式あて（当初）'!C180,E180="○",G180="○",I180="○"),"☆","")</f>
        <v/>
      </c>
      <c r="L180" s="66" t="str">
        <f>IF(AND(計算シート!$E$5='計算式あて（当初）'!C180,E180="○",G180="○",I180="○"),"◇","")</f>
        <v/>
      </c>
    </row>
    <row r="181" spans="1:12">
      <c r="A181" s="25"/>
      <c r="B181" s="25"/>
      <c r="C181" s="24">
        <v>39661</v>
      </c>
      <c r="D181" s="23" t="s">
        <v>69</v>
      </c>
      <c r="E181" s="64" t="str">
        <f>IFERROR(IF(D181=計算シート!$B$7,"○",""),"")</f>
        <v/>
      </c>
      <c r="F181" s="23" t="s">
        <v>572</v>
      </c>
      <c r="G181" s="64" t="str">
        <f>IFERROR(IF(AND(計算シート!$B$11&gt;=4060,計算シート!$B$11&lt;=11750),"○",""),"")</f>
        <v/>
      </c>
      <c r="H181" s="23" t="s">
        <v>382</v>
      </c>
      <c r="I181" s="64" t="str">
        <f t="shared" si="19"/>
        <v/>
      </c>
      <c r="J181" s="64">
        <f>ROUNDDOWN(0.8*計算シート!$B$11-0.3*((計算シート!$B$11-4060)/(11750-4060))*計算シート!$B$11,0)</f>
        <v>0</v>
      </c>
      <c r="K181" s="64" t="str">
        <f>IF(AND(計算シート!$E$3='計算式あて（当初）'!C181,E181="○",G181="○",I181="○"),"☆","")</f>
        <v/>
      </c>
      <c r="L181" s="66" t="str">
        <f>IF(AND(計算シート!$E$5='計算式あて（当初）'!C181,E181="○",G181="○",I181="○"),"◇","")</f>
        <v/>
      </c>
    </row>
    <row r="182" spans="1:12">
      <c r="A182" s="25"/>
      <c r="B182" s="25"/>
      <c r="C182" s="24">
        <v>39661</v>
      </c>
      <c r="D182" s="23" t="s">
        <v>69</v>
      </c>
      <c r="E182" s="64" t="str">
        <f>IFERROR(IF(D182=計算シート!$B$7,"○",""),"")</f>
        <v/>
      </c>
      <c r="F182" s="23" t="s">
        <v>575</v>
      </c>
      <c r="G182" s="64" t="str">
        <f>IFERROR(IF(AND(計算シート!$B$11&gt;11750,計算シート!$B$11&lt;=15460),"○",""),"")</f>
        <v/>
      </c>
      <c r="H182" s="23" t="s">
        <v>82</v>
      </c>
      <c r="I182" s="64" t="str">
        <f t="shared" si="19"/>
        <v/>
      </c>
      <c r="J182" s="64">
        <f>ROUNDDOWN(計算シート!$B$11*0.5,0)</f>
        <v>0</v>
      </c>
      <c r="K182" s="64" t="str">
        <f>IF(AND(計算シート!$E$3='計算式あて（当初）'!C182,E182="○",G182="○",I182="○"),"☆","")</f>
        <v/>
      </c>
      <c r="L182" s="66" t="str">
        <f>IF(AND(計算シート!$E$5='計算式あて（当初）'!C182,E182="○",G182="○",I182="○"),"◇","")</f>
        <v/>
      </c>
    </row>
    <row r="183" spans="1:12">
      <c r="A183" s="25"/>
      <c r="B183" s="25"/>
      <c r="C183" s="24">
        <v>39661</v>
      </c>
      <c r="D183" s="23" t="s">
        <v>69</v>
      </c>
      <c r="E183" s="64" t="str">
        <f>IFERROR(IF(D183=計算シート!$B$7,"○",""),"")</f>
        <v/>
      </c>
      <c r="F183" s="23" t="s">
        <v>383</v>
      </c>
      <c r="G183" s="64" t="str">
        <f>IFERROR(IF(計算シート!$B$11&gt;15460,"○",""),"")</f>
        <v/>
      </c>
      <c r="H183" s="23" t="s">
        <v>384</v>
      </c>
      <c r="I183" s="64" t="str">
        <f t="shared" si="19"/>
        <v/>
      </c>
      <c r="J183" s="64">
        <v>7730</v>
      </c>
      <c r="K183" s="64" t="str">
        <f>IF(AND(計算シート!$E$3='計算式あて（当初）'!C183,E183="○",G183="○",I183="○"),"☆","")</f>
        <v/>
      </c>
      <c r="L183" s="66" t="str">
        <f>IF(AND(計算シート!$E$5='計算式あて（当初）'!C183,E183="○",G183="○",I183="○"),"◇","")</f>
        <v/>
      </c>
    </row>
    <row r="184" spans="1:12">
      <c r="A184" s="25"/>
      <c r="B184" s="25"/>
      <c r="C184" s="24">
        <v>39661</v>
      </c>
      <c r="D184" s="23" t="s">
        <v>70</v>
      </c>
      <c r="E184" s="64" t="str">
        <f>IFERROR(IF(D184=計算シート!$B$7,"○",""),"")</f>
        <v/>
      </c>
      <c r="F184" s="23" t="s">
        <v>234</v>
      </c>
      <c r="G184" s="64" t="str">
        <f>IFERROR(IF(AND(計算シート!$B$11&gt;=2060,計算シート!$B$11&lt;4060),"○",""),"")</f>
        <v/>
      </c>
      <c r="H184" s="23" t="s">
        <v>80</v>
      </c>
      <c r="I184" s="64" t="str">
        <f t="shared" si="19"/>
        <v/>
      </c>
      <c r="J184" s="64">
        <f>ROUNDDOWN(計算シート!$B$11*0.8,0)</f>
        <v>0</v>
      </c>
      <c r="K184" s="64" t="str">
        <f>IF(AND(計算シート!$E$3='計算式あて（当初）'!C184,E184="○",G184="○",I184="○"),"☆","")</f>
        <v/>
      </c>
      <c r="L184" s="66" t="str">
        <f>IF(AND(計算シート!$E$5='計算式あて（当初）'!C184,E184="○",G184="○",I184="○"),"◇","")</f>
        <v/>
      </c>
    </row>
    <row r="185" spans="1:12">
      <c r="A185" s="25"/>
      <c r="B185" s="25"/>
      <c r="C185" s="24">
        <v>39661</v>
      </c>
      <c r="D185" s="23" t="s">
        <v>70</v>
      </c>
      <c r="E185" s="64" t="str">
        <f>IFERROR(IF(D185=計算シート!$B$7,"○",""),"")</f>
        <v/>
      </c>
      <c r="F185" s="23" t="s">
        <v>576</v>
      </c>
      <c r="G185" s="64" t="str">
        <f>IFERROR(IF(AND(計算シート!$B$11&gt;=4060,計算シート!$B$11&lt;=10530),"○",""),"")</f>
        <v/>
      </c>
      <c r="H185" s="23" t="s">
        <v>385</v>
      </c>
      <c r="I185" s="64" t="str">
        <f>IFERROR(IF(J185&lt;J186,"○",""),"")</f>
        <v>○</v>
      </c>
      <c r="J185" s="64">
        <f>ROUNDDOWN(0.8*計算シート!$B$11-0.35*((計算シート!$B$11-4060)/(10530-4060))*計算シート!$B$11,0)</f>
        <v>0</v>
      </c>
      <c r="K185" s="64" t="str">
        <f>IF(AND(計算シート!$E$3='計算式あて（当初）'!C185,E185="○",G185="○",I185="○"),"☆","")</f>
        <v/>
      </c>
      <c r="L185" s="66" t="str">
        <f>IF(AND(計算シート!$E$5='計算式あて（当初）'!C185,E185="○",G185="○",I185="○"),"◇","")</f>
        <v/>
      </c>
    </row>
    <row r="186" spans="1:12">
      <c r="A186" s="25"/>
      <c r="B186" s="25"/>
      <c r="C186" s="24">
        <v>39661</v>
      </c>
      <c r="D186" s="23" t="s">
        <v>70</v>
      </c>
      <c r="E186" s="64" t="str">
        <f>IFERROR(IF(D186=計算シート!$B$7,"○",""),"")</f>
        <v/>
      </c>
      <c r="F186" s="23" t="s">
        <v>577</v>
      </c>
      <c r="G186" s="64" t="str">
        <f>IFERROR(IF(AND(計算シート!$B$11&gt;=4060,計算シート!$B$11&lt;=10530),"○",""),"")</f>
        <v/>
      </c>
      <c r="H186" s="23" t="s">
        <v>169</v>
      </c>
      <c r="I186" s="64" t="str">
        <f>IFERROR(IF(J186&lt;J185,"○",""),"")</f>
        <v/>
      </c>
      <c r="J186" s="64">
        <f>ROUNDDOWN(計算シート!$B$11*0.05+(10530*0.4),0)</f>
        <v>4212</v>
      </c>
      <c r="K186" s="64" t="str">
        <f>IF(AND(計算シート!$E$3='計算式あて（当初）'!C186,E186="○",G186="○",I186="○"),"☆","")</f>
        <v/>
      </c>
      <c r="L186" s="66" t="str">
        <f>IF(AND(計算シート!$E$5='計算式あて（当初）'!C186,E186="○",G186="○",I186="○"),"◇","")</f>
        <v/>
      </c>
    </row>
    <row r="187" spans="1:12">
      <c r="A187" s="25"/>
      <c r="B187" s="25"/>
      <c r="C187" s="24">
        <v>39661</v>
      </c>
      <c r="D187" s="23" t="s">
        <v>70</v>
      </c>
      <c r="E187" s="64" t="str">
        <f>IFERROR(IF(D187=計算シート!$B$7,"○",""),"")</f>
        <v/>
      </c>
      <c r="F187" s="23" t="s">
        <v>386</v>
      </c>
      <c r="G187" s="64" t="str">
        <f>IFERROR(IF(AND(計算シート!$B$11&gt;10530,計算シート!$B$11&lt;=14980),"○",""),"")</f>
        <v/>
      </c>
      <c r="H187" s="23" t="s">
        <v>84</v>
      </c>
      <c r="I187" s="64" t="str">
        <f t="shared" ref="I187:I188" si="20">G187</f>
        <v/>
      </c>
      <c r="J187" s="64">
        <f>ROUNDDOWN(計算シート!$B$11*0.45,0)</f>
        <v>0</v>
      </c>
      <c r="K187" s="64" t="str">
        <f>IF(AND(計算シート!$E$3='計算式あて（当初）'!C187,E187="○",G187="○",I187="○"),"☆","")</f>
        <v/>
      </c>
      <c r="L187" s="66" t="str">
        <f>IF(AND(計算シート!$E$5='計算式あて（当初）'!C187,E187="○",G187="○",I187="○"),"◇","")</f>
        <v/>
      </c>
    </row>
    <row r="188" spans="1:12">
      <c r="A188" s="27"/>
      <c r="B188" s="28"/>
      <c r="C188" s="24">
        <v>39661</v>
      </c>
      <c r="D188" s="23" t="s">
        <v>70</v>
      </c>
      <c r="E188" s="64" t="str">
        <f>IFERROR(IF(D188=計算シート!$B$7,"○",""),"")</f>
        <v/>
      </c>
      <c r="F188" s="23" t="s">
        <v>387</v>
      </c>
      <c r="G188" s="64" t="str">
        <f>IFERROR(IF(計算シート!$B$11&gt;14980,"○",""),"")</f>
        <v/>
      </c>
      <c r="H188" s="23" t="s">
        <v>388</v>
      </c>
      <c r="I188" s="64" t="str">
        <f t="shared" si="20"/>
        <v/>
      </c>
      <c r="J188" s="64">
        <v>6741</v>
      </c>
      <c r="K188" s="64" t="str">
        <f>IF(AND(計算シート!$E$3='計算式あて（当初）'!C188,E188="○",G188="○",I188="○"),"☆","")</f>
        <v/>
      </c>
      <c r="L188" s="66" t="str">
        <f>IF(AND(計算シート!$E$5='計算式あて（当初）'!C188,E188="○",G188="○",I188="○"),"◇","")</f>
        <v/>
      </c>
    </row>
    <row r="189" spans="1:12" ht="27">
      <c r="A189" s="25"/>
      <c r="B189" s="26" t="s">
        <v>433</v>
      </c>
      <c r="C189" s="24">
        <v>39295</v>
      </c>
      <c r="D189" s="23" t="s">
        <v>67</v>
      </c>
      <c r="E189" s="64" t="str">
        <f>IFERROR(IF(D189=計算シート!$B$7,"○",""),"")</f>
        <v/>
      </c>
      <c r="F189" s="23" t="s">
        <v>246</v>
      </c>
      <c r="G189" s="64" t="str">
        <f>IFERROR(IF(AND(計算シート!$B$11&gt;=2070,計算シート!$B$11&lt;4080),"○",""),"")</f>
        <v/>
      </c>
      <c r="H189" s="23" t="s">
        <v>80</v>
      </c>
      <c r="I189" s="64" t="str">
        <f>G189</f>
        <v/>
      </c>
      <c r="J189" s="64">
        <f>ROUNDDOWN(計算シート!$B$11*0.8,0)</f>
        <v>0</v>
      </c>
      <c r="K189" s="64" t="str">
        <f>IF(AND(計算シート!$E$3='計算式あて（当初）'!C189,E189="○",G189="○",I189="○"),"☆","")</f>
        <v/>
      </c>
      <c r="L189" s="66" t="str">
        <f>IF(AND(計算シート!$E$5='計算式あて（当初）'!C189,E189="○",G189="○",I189="○"),"◇","")</f>
        <v/>
      </c>
    </row>
    <row r="190" spans="1:12">
      <c r="A190" s="25"/>
      <c r="B190" s="25"/>
      <c r="C190" s="24">
        <v>39295</v>
      </c>
      <c r="D190" s="23" t="s">
        <v>67</v>
      </c>
      <c r="E190" s="64" t="str">
        <f>IFERROR(IF(D190=計算シート!$B$7,"○",""),"")</f>
        <v/>
      </c>
      <c r="F190" s="23" t="s">
        <v>578</v>
      </c>
      <c r="G190" s="64" t="str">
        <f>IFERROR(IF(AND(計算シート!$B$11&gt;=4080,計算シート!$B$11&lt;=11820),"○",""),"")</f>
        <v/>
      </c>
      <c r="H190" s="23" t="s">
        <v>389</v>
      </c>
      <c r="I190" s="64" t="str">
        <f t="shared" ref="I190:I201" si="21">G190</f>
        <v/>
      </c>
      <c r="J190" s="64">
        <f>ROUNDDOWN(0.8*計算シート!$B$11-0.3*((計算シート!$B$11-4080)/(11820-4080))*計算シート!$B$11,0)</f>
        <v>0</v>
      </c>
      <c r="K190" s="64" t="str">
        <f>IF(AND(計算シート!$E$3='計算式あて（当初）'!C190,E190="○",G190="○",I190="○"),"☆","")</f>
        <v/>
      </c>
      <c r="L190" s="66" t="str">
        <f>IF(AND(計算シート!$E$5='計算式あて（当初）'!C190,E190="○",G190="○",I190="○"),"◇","")</f>
        <v/>
      </c>
    </row>
    <row r="191" spans="1:12">
      <c r="A191" s="25"/>
      <c r="B191" s="25"/>
      <c r="C191" s="24">
        <v>39295</v>
      </c>
      <c r="D191" s="23" t="s">
        <v>67</v>
      </c>
      <c r="E191" s="64" t="str">
        <f>IFERROR(IF(D191=計算シート!$B$7,"○",""),"")</f>
        <v/>
      </c>
      <c r="F191" s="23" t="s">
        <v>579</v>
      </c>
      <c r="G191" s="64" t="str">
        <f>IFERROR(IF(AND(計算シート!$B$11&gt;11820,計算シート!$B$11&lt;=12730),"○",""),"")</f>
        <v/>
      </c>
      <c r="H191" s="23" t="s">
        <v>82</v>
      </c>
      <c r="I191" s="64" t="str">
        <f t="shared" si="21"/>
        <v/>
      </c>
      <c r="J191" s="64">
        <f>ROUNDDOWN(計算シート!$B$11*0.5,0)</f>
        <v>0</v>
      </c>
      <c r="K191" s="64" t="str">
        <f>IF(AND(計算シート!$E$3='計算式あて（当初）'!C191,E191="○",G191="○",I191="○"),"☆","")</f>
        <v/>
      </c>
      <c r="L191" s="66" t="str">
        <f>IF(AND(計算シート!$E$5='計算式あて（当初）'!C191,E191="○",G191="○",I191="○"),"◇","")</f>
        <v/>
      </c>
    </row>
    <row r="192" spans="1:12">
      <c r="A192" s="25"/>
      <c r="B192" s="25"/>
      <c r="C192" s="24">
        <v>39295</v>
      </c>
      <c r="D192" s="23" t="s">
        <v>67</v>
      </c>
      <c r="E192" s="64" t="str">
        <f>IFERROR(IF(D192=計算シート!$B$7,"○",""),"")</f>
        <v/>
      </c>
      <c r="F192" s="23" t="s">
        <v>390</v>
      </c>
      <c r="G192" s="64" t="str">
        <f>IFERROR(IF(計算シート!$B$11&gt;12730,"○",""),"")</f>
        <v/>
      </c>
      <c r="H192" s="23" t="s">
        <v>391</v>
      </c>
      <c r="I192" s="64" t="str">
        <f t="shared" si="21"/>
        <v/>
      </c>
      <c r="J192" s="64">
        <v>6365</v>
      </c>
      <c r="K192" s="64" t="str">
        <f>IF(AND(計算シート!$E$3='計算式あて（当初）'!C192,E192="○",G192="○",I192="○"),"☆","")</f>
        <v/>
      </c>
      <c r="L192" s="66" t="str">
        <f>IF(AND(計算シート!$E$5='計算式あて（当初）'!C192,E192="○",G192="○",I192="○"),"◇","")</f>
        <v/>
      </c>
    </row>
    <row r="193" spans="1:12">
      <c r="A193" s="25"/>
      <c r="B193" s="25"/>
      <c r="C193" s="24">
        <v>39295</v>
      </c>
      <c r="D193" s="23" t="s">
        <v>68</v>
      </c>
      <c r="E193" s="64" t="str">
        <f>IFERROR(IF(D193=計算シート!$B$7,"○",""),"")</f>
        <v/>
      </c>
      <c r="F193" s="23" t="s">
        <v>246</v>
      </c>
      <c r="G193" s="64" t="str">
        <f>IFERROR(IF(AND(計算シート!$B$11&gt;=2070,計算シート!$B$11&lt;4080),"○",""),"")</f>
        <v/>
      </c>
      <c r="H193" s="23" t="s">
        <v>80</v>
      </c>
      <c r="I193" s="64" t="str">
        <f t="shared" si="21"/>
        <v/>
      </c>
      <c r="J193" s="64">
        <f>ROUNDDOWN(計算シート!$B$11*0.8,0)</f>
        <v>0</v>
      </c>
      <c r="K193" s="64" t="str">
        <f>IF(AND(計算シート!$E$3='計算式あて（当初）'!C193,E193="○",G193="○",I193="○"),"☆","")</f>
        <v/>
      </c>
      <c r="L193" s="66" t="str">
        <f>IF(AND(計算シート!$E$5='計算式あて（当初）'!C193,E193="○",G193="○",I193="○"),"◇","")</f>
        <v/>
      </c>
    </row>
    <row r="194" spans="1:12">
      <c r="A194" s="25"/>
      <c r="B194" s="25"/>
      <c r="C194" s="24">
        <v>39295</v>
      </c>
      <c r="D194" s="23" t="s">
        <v>68</v>
      </c>
      <c r="E194" s="64" t="str">
        <f>IFERROR(IF(D194=計算シート!$B$7,"○",""),"")</f>
        <v/>
      </c>
      <c r="F194" s="23" t="s">
        <v>578</v>
      </c>
      <c r="G194" s="64" t="str">
        <f>IFERROR(IF(AND(計算シート!$B$11&gt;=4080,計算シート!$B$11&lt;=11820),"○",""),"")</f>
        <v/>
      </c>
      <c r="H194" s="23" t="s">
        <v>389</v>
      </c>
      <c r="I194" s="64" t="str">
        <f t="shared" si="21"/>
        <v/>
      </c>
      <c r="J194" s="64">
        <f>ROUNDDOWN(0.8*計算シート!$B$11-0.3*((計算シート!$B$11-4080)/(11820-4080))*計算シート!$B$11,0)</f>
        <v>0</v>
      </c>
      <c r="K194" s="64" t="str">
        <f>IF(AND(計算シート!$E$3='計算式あて（当初）'!C194,E194="○",G194="○",I194="○"),"☆","")</f>
        <v/>
      </c>
      <c r="L194" s="66" t="str">
        <f>IF(AND(計算シート!$E$5='計算式あて（当初）'!C194,E194="○",G194="○",I194="○"),"◇","")</f>
        <v/>
      </c>
    </row>
    <row r="195" spans="1:12">
      <c r="A195" s="25"/>
      <c r="B195" s="25"/>
      <c r="C195" s="24">
        <v>39295</v>
      </c>
      <c r="D195" s="23" t="s">
        <v>68</v>
      </c>
      <c r="E195" s="64" t="str">
        <f>IFERROR(IF(D195=計算シート!$B$7,"○",""),"")</f>
        <v/>
      </c>
      <c r="F195" s="23" t="s">
        <v>580</v>
      </c>
      <c r="G195" s="64" t="str">
        <f>IFERROR(IF(AND(計算シート!$B$11&gt;11820,計算シート!$B$11&lt;=14140),"○",""),"")</f>
        <v/>
      </c>
      <c r="H195" s="23" t="s">
        <v>82</v>
      </c>
      <c r="I195" s="64" t="str">
        <f t="shared" si="21"/>
        <v/>
      </c>
      <c r="J195" s="64">
        <f>ROUNDDOWN(計算シート!$B$11*0.5,0)</f>
        <v>0</v>
      </c>
      <c r="K195" s="64" t="str">
        <f>IF(AND(計算シート!$E$3='計算式あて（当初）'!C195,E195="○",G195="○",I195="○"),"☆","")</f>
        <v/>
      </c>
      <c r="L195" s="66" t="str">
        <f>IF(AND(計算シート!$E$5='計算式あて（当初）'!C195,E195="○",G195="○",I195="○"),"◇","")</f>
        <v/>
      </c>
    </row>
    <row r="196" spans="1:12">
      <c r="A196" s="25"/>
      <c r="B196" s="25"/>
      <c r="C196" s="24">
        <v>39295</v>
      </c>
      <c r="D196" s="23" t="s">
        <v>68</v>
      </c>
      <c r="E196" s="64" t="str">
        <f>IFERROR(IF(D196=計算シート!$B$7,"○",""),"")</f>
        <v/>
      </c>
      <c r="F196" s="23" t="s">
        <v>248</v>
      </c>
      <c r="G196" s="64" t="str">
        <f>IFERROR(IF(計算シート!$B$11&gt;14140,"○",""),"")</f>
        <v/>
      </c>
      <c r="H196" s="23" t="s">
        <v>253</v>
      </c>
      <c r="I196" s="64" t="str">
        <f t="shared" si="21"/>
        <v/>
      </c>
      <c r="J196" s="64">
        <v>7070</v>
      </c>
      <c r="K196" s="64" t="str">
        <f>IF(AND(計算シート!$E$3='計算式あて（当初）'!C196,E196="○",G196="○",I196="○"),"☆","")</f>
        <v/>
      </c>
      <c r="L196" s="66" t="str">
        <f>IF(AND(計算シート!$E$5='計算式あて（当初）'!C196,E196="○",G196="○",I196="○"),"◇","")</f>
        <v/>
      </c>
    </row>
    <row r="197" spans="1:12">
      <c r="A197" s="25"/>
      <c r="B197" s="25"/>
      <c r="C197" s="24">
        <v>39295</v>
      </c>
      <c r="D197" s="23" t="s">
        <v>69</v>
      </c>
      <c r="E197" s="64" t="str">
        <f>IFERROR(IF(D197=計算シート!$B$7,"○",""),"")</f>
        <v/>
      </c>
      <c r="F197" s="23" t="s">
        <v>246</v>
      </c>
      <c r="G197" s="64" t="str">
        <f>IFERROR(IF(AND(計算シート!$B$11&gt;=2070,計算シート!$B$11&lt;4080),"○",""),"")</f>
        <v/>
      </c>
      <c r="H197" s="23" t="s">
        <v>80</v>
      </c>
      <c r="I197" s="64" t="str">
        <f t="shared" si="21"/>
        <v/>
      </c>
      <c r="J197" s="64">
        <f>ROUNDDOWN(計算シート!$B$11*0.8,0)</f>
        <v>0</v>
      </c>
      <c r="K197" s="64" t="str">
        <f>IF(AND(計算シート!$E$3='計算式あて（当初）'!C197,E197="○",G197="○",I197="○"),"☆","")</f>
        <v/>
      </c>
      <c r="L197" s="66" t="str">
        <f>IF(AND(計算シート!$E$5='計算式あて（当初）'!C197,E197="○",G197="○",I197="○"),"◇","")</f>
        <v/>
      </c>
    </row>
    <row r="198" spans="1:12">
      <c r="A198" s="25"/>
      <c r="B198" s="25"/>
      <c r="C198" s="24">
        <v>39295</v>
      </c>
      <c r="D198" s="23" t="s">
        <v>69</v>
      </c>
      <c r="E198" s="64" t="str">
        <f>IFERROR(IF(D198=計算シート!$B$7,"○",""),"")</f>
        <v/>
      </c>
      <c r="F198" s="23" t="s">
        <v>578</v>
      </c>
      <c r="G198" s="64" t="str">
        <f>IFERROR(IF(AND(計算シート!$B$11&gt;=4080,計算シート!$B$11&lt;=11820),"○",""),"")</f>
        <v/>
      </c>
      <c r="H198" s="23" t="s">
        <v>389</v>
      </c>
      <c r="I198" s="64" t="str">
        <f t="shared" si="21"/>
        <v/>
      </c>
      <c r="J198" s="64">
        <f>ROUNDDOWN(0.8*計算シート!$B$11-0.3*((計算シート!$B$11-4080)/(11820-4080))*計算シート!$B$11,0)</f>
        <v>0</v>
      </c>
      <c r="K198" s="64" t="str">
        <f>IF(AND(計算シート!$E$3='計算式あて（当初）'!C198,E198="○",G198="○",I198="○"),"☆","")</f>
        <v/>
      </c>
      <c r="L198" s="66" t="str">
        <f>IF(AND(計算シート!$E$5='計算式あて（当初）'!C198,E198="○",G198="○",I198="○"),"◇","")</f>
        <v/>
      </c>
    </row>
    <row r="199" spans="1:12">
      <c r="A199" s="25"/>
      <c r="B199" s="25"/>
      <c r="C199" s="24">
        <v>39295</v>
      </c>
      <c r="D199" s="23" t="s">
        <v>69</v>
      </c>
      <c r="E199" s="64" t="str">
        <f>IFERROR(IF(D199=計算シート!$B$7,"○",""),"")</f>
        <v/>
      </c>
      <c r="F199" s="23" t="s">
        <v>581</v>
      </c>
      <c r="G199" s="64" t="str">
        <f>IFERROR(IF(AND(計算シート!$B$11&gt;11820,計算シート!$B$11&lt;=15550),"○",""),"")</f>
        <v/>
      </c>
      <c r="H199" s="23" t="s">
        <v>82</v>
      </c>
      <c r="I199" s="64" t="str">
        <f t="shared" si="21"/>
        <v/>
      </c>
      <c r="J199" s="64">
        <f>ROUNDDOWN(計算シート!$B$11*0.5,0)</f>
        <v>0</v>
      </c>
      <c r="K199" s="64" t="str">
        <f>IF(AND(計算シート!$E$3='計算式あて（当初）'!C199,E199="○",G199="○",I199="○"),"☆","")</f>
        <v/>
      </c>
      <c r="L199" s="66" t="str">
        <f>IF(AND(計算シート!$E$5='計算式あて（当初）'!C199,E199="○",G199="○",I199="○"),"◇","")</f>
        <v/>
      </c>
    </row>
    <row r="200" spans="1:12">
      <c r="A200" s="25"/>
      <c r="B200" s="25"/>
      <c r="C200" s="24">
        <v>39295</v>
      </c>
      <c r="D200" s="23" t="s">
        <v>69</v>
      </c>
      <c r="E200" s="64" t="str">
        <f>IFERROR(IF(D200=計算シート!$B$7,"○",""),"")</f>
        <v/>
      </c>
      <c r="F200" s="23" t="s">
        <v>318</v>
      </c>
      <c r="G200" s="64" t="str">
        <f>IFERROR(IF(計算シート!$B$11&gt;15550,"○",""),"")</f>
        <v/>
      </c>
      <c r="H200" s="23" t="s">
        <v>321</v>
      </c>
      <c r="I200" s="64" t="str">
        <f t="shared" si="21"/>
        <v/>
      </c>
      <c r="J200" s="64">
        <v>7775</v>
      </c>
      <c r="K200" s="64" t="str">
        <f>IF(AND(計算シート!$E$3='計算式あて（当初）'!C200,E200="○",G200="○",I200="○"),"☆","")</f>
        <v/>
      </c>
      <c r="L200" s="66" t="str">
        <f>IF(AND(計算シート!$E$5='計算式あて（当初）'!C200,E200="○",G200="○",I200="○"),"◇","")</f>
        <v/>
      </c>
    </row>
    <row r="201" spans="1:12">
      <c r="A201" s="25"/>
      <c r="B201" s="25"/>
      <c r="C201" s="24">
        <v>39295</v>
      </c>
      <c r="D201" s="23" t="s">
        <v>70</v>
      </c>
      <c r="E201" s="64" t="str">
        <f>IFERROR(IF(D201=計算シート!$B$7,"○",""),"")</f>
        <v/>
      </c>
      <c r="F201" s="23" t="s">
        <v>246</v>
      </c>
      <c r="G201" s="64" t="str">
        <f>IFERROR(IF(AND(計算シート!$B$11&gt;=2070,計算シート!$B$11&lt;4080),"○",""),"")</f>
        <v/>
      </c>
      <c r="H201" s="23" t="s">
        <v>80</v>
      </c>
      <c r="I201" s="64" t="str">
        <f t="shared" si="21"/>
        <v/>
      </c>
      <c r="J201" s="64">
        <f>ROUNDDOWN(計算シート!$B$11*0.8,0)</f>
        <v>0</v>
      </c>
      <c r="K201" s="64" t="str">
        <f>IF(AND(計算シート!$E$3='計算式あて（当初）'!C201,E201="○",G201="○",I201="○"),"☆","")</f>
        <v/>
      </c>
      <c r="L201" s="66" t="str">
        <f>IF(AND(計算シート!$E$5='計算式あて（当初）'!C201,E201="○",G201="○",I201="○"),"◇","")</f>
        <v/>
      </c>
    </row>
    <row r="202" spans="1:12">
      <c r="A202" s="25"/>
      <c r="B202" s="25"/>
      <c r="C202" s="24">
        <v>39295</v>
      </c>
      <c r="D202" s="23" t="s">
        <v>70</v>
      </c>
      <c r="E202" s="64" t="str">
        <f>IFERROR(IF(D202=計算シート!$B$7,"○",""),"")</f>
        <v/>
      </c>
      <c r="F202" s="23" t="s">
        <v>582</v>
      </c>
      <c r="G202" s="64" t="str">
        <f>IFERROR(IF(AND(計算シート!$B$11&gt;=4080,計算シート!$B$11&lt;=10590),"○",""),"")</f>
        <v/>
      </c>
      <c r="H202" s="23" t="s">
        <v>392</v>
      </c>
      <c r="I202" s="64" t="str">
        <f>IFERROR(IF(J202&lt;J203,"○",""),"")</f>
        <v>○</v>
      </c>
      <c r="J202" s="64">
        <f>ROUNDDOWN(0.8*計算シート!$B$11-0.35*((計算シート!$B$11-4080)/(10590-4080))*計算シート!$B$11,0)</f>
        <v>0</v>
      </c>
      <c r="K202" s="64" t="str">
        <f>IF(AND(計算シート!$E$3='計算式あて（当初）'!C202,E202="○",G202="○",I202="○"),"☆","")</f>
        <v/>
      </c>
      <c r="L202" s="66" t="str">
        <f>IF(AND(計算シート!$E$5='計算式あて（当初）'!C202,E202="○",G202="○",I202="○"),"◇","")</f>
        <v/>
      </c>
    </row>
    <row r="203" spans="1:12">
      <c r="A203" s="25"/>
      <c r="B203" s="25"/>
      <c r="C203" s="24">
        <v>39295</v>
      </c>
      <c r="D203" s="23" t="s">
        <v>70</v>
      </c>
      <c r="E203" s="64" t="str">
        <f>IFERROR(IF(D203=計算シート!$B$7,"○",""),"")</f>
        <v/>
      </c>
      <c r="F203" s="23" t="s">
        <v>582</v>
      </c>
      <c r="G203" s="64" t="str">
        <f>IFERROR(IF(AND(計算シート!$B$11&gt;=4080,計算シート!$B$11&lt;=10590),"○",""),"")</f>
        <v/>
      </c>
      <c r="H203" s="23" t="s">
        <v>393</v>
      </c>
      <c r="I203" s="64" t="str">
        <f>IFERROR(IF(J203&lt;J202,"○",""),"")</f>
        <v/>
      </c>
      <c r="J203" s="64">
        <f>ROUNDDOWN(計算シート!$B$11*0.05+(10590*0.4),0)</f>
        <v>4236</v>
      </c>
      <c r="K203" s="64" t="str">
        <f>IF(AND(計算シート!$E$3='計算式あて（当初）'!C203,E203="○",G203="○",I203="○"),"☆","")</f>
        <v/>
      </c>
      <c r="L203" s="66" t="str">
        <f>IF(AND(計算シート!$E$5='計算式あて（当初）'!C203,E203="○",G203="○",I203="○"),"◇","")</f>
        <v/>
      </c>
    </row>
    <row r="204" spans="1:12">
      <c r="A204" s="25"/>
      <c r="B204" s="25"/>
      <c r="C204" s="24">
        <v>39295</v>
      </c>
      <c r="D204" s="23" t="s">
        <v>70</v>
      </c>
      <c r="E204" s="64" t="str">
        <f>IFERROR(IF(D204=計算シート!$B$7,"○",""),"")</f>
        <v/>
      </c>
      <c r="F204" s="23" t="s">
        <v>394</v>
      </c>
      <c r="G204" s="64" t="str">
        <f>IFERROR(IF(AND(計算シート!$B$11&gt;10590,計算シート!$B$11&lt;=15060),"○",""),"")</f>
        <v/>
      </c>
      <c r="H204" s="23" t="s">
        <v>84</v>
      </c>
      <c r="I204" s="64" t="str">
        <f t="shared" ref="I204:I205" si="22">G204</f>
        <v/>
      </c>
      <c r="J204" s="64">
        <f>ROUNDDOWN(計算シート!$B$11*0.45,0)</f>
        <v>0</v>
      </c>
      <c r="K204" s="64" t="str">
        <f>IF(AND(計算シート!$E$3='計算式あて（当初）'!C204,E204="○",G204="○",I204="○"),"☆","")</f>
        <v/>
      </c>
      <c r="L204" s="66" t="str">
        <f>IF(AND(計算シート!$E$5='計算式あて（当初）'!C204,E204="○",G204="○",I204="○"),"◇","")</f>
        <v/>
      </c>
    </row>
    <row r="205" spans="1:12">
      <c r="A205" s="27"/>
      <c r="B205" s="28"/>
      <c r="C205" s="24">
        <v>39295</v>
      </c>
      <c r="D205" s="23" t="s">
        <v>70</v>
      </c>
      <c r="E205" s="64" t="str">
        <f>IFERROR(IF(D205=計算シート!$B$7,"○",""),"")</f>
        <v/>
      </c>
      <c r="F205" s="23" t="s">
        <v>356</v>
      </c>
      <c r="G205" s="64" t="str">
        <f>IFERROR(IF(計算シート!$B$11&gt;15060,"○",""),"")</f>
        <v/>
      </c>
      <c r="H205" s="23" t="s">
        <v>357</v>
      </c>
      <c r="I205" s="64" t="str">
        <f t="shared" si="22"/>
        <v/>
      </c>
      <c r="J205" s="64">
        <v>6777</v>
      </c>
      <c r="K205" s="64" t="str">
        <f>IF(AND(計算シート!$E$3='計算式あて（当初）'!C205,E205="○",G205="○",I205="○"),"☆","")</f>
        <v/>
      </c>
      <c r="L205" s="66" t="str">
        <f>IF(AND(計算シート!$E$5='計算式あて（当初）'!C205,E205="○",G205="○",I205="○"),"◇","")</f>
        <v/>
      </c>
    </row>
    <row r="206" spans="1:12" ht="27">
      <c r="A206" s="25"/>
      <c r="B206" s="26" t="s">
        <v>434</v>
      </c>
      <c r="C206" s="24">
        <v>38930</v>
      </c>
      <c r="D206" s="23" t="s">
        <v>67</v>
      </c>
      <c r="E206" s="64" t="str">
        <f>IFERROR(IF(D206=計算シート!$B$7,"○",""),"")</f>
        <v/>
      </c>
      <c r="F206" s="23" t="s">
        <v>256</v>
      </c>
      <c r="G206" s="64" t="str">
        <f>IFERROR(IF(AND(計算シート!$B$11&gt;=2080,計算シート!$B$11&lt;4100),"○",""),"")</f>
        <v/>
      </c>
      <c r="H206" s="23" t="s">
        <v>80</v>
      </c>
      <c r="I206" s="64" t="str">
        <f>G206</f>
        <v/>
      </c>
      <c r="J206" s="64">
        <f>ROUNDDOWN(計算シート!$B$11*0.8,0)</f>
        <v>0</v>
      </c>
      <c r="K206" s="64" t="str">
        <f>IF(AND(計算シート!$E$3='計算式あて（当初）'!C206,E206="○",G206="○",I206="○"),"☆","")</f>
        <v/>
      </c>
      <c r="L206" s="66" t="str">
        <f>IF(AND(計算シート!$E$5='計算式あて（当初）'!C206,E206="○",G206="○",I206="○"),"◇","")</f>
        <v/>
      </c>
    </row>
    <row r="207" spans="1:12">
      <c r="A207" s="25"/>
      <c r="B207" s="25"/>
      <c r="C207" s="24">
        <v>38930</v>
      </c>
      <c r="D207" s="23" t="s">
        <v>67</v>
      </c>
      <c r="E207" s="64" t="str">
        <f>IFERROR(IF(D207=計算シート!$B$7,"○",""),"")</f>
        <v/>
      </c>
      <c r="F207" s="23" t="s">
        <v>583</v>
      </c>
      <c r="G207" s="64" t="str">
        <f>IFERROR(IF(AND(計算シート!$B$11&gt;=4100,計算シート!$B$11&lt;=11870),"○",""),"")</f>
        <v/>
      </c>
      <c r="H207" s="23" t="s">
        <v>395</v>
      </c>
      <c r="I207" s="64" t="str">
        <f t="shared" ref="I207:I218" si="23">G207</f>
        <v/>
      </c>
      <c r="J207" s="64">
        <f>ROUNDDOWN(0.8*計算シート!$B$11-0.3*((計算シート!$B$11-4100)/(11870-4100))*計算シート!$B$11,0)</f>
        <v>0</v>
      </c>
      <c r="K207" s="64" t="str">
        <f>IF(AND(計算シート!$E$3='計算式あて（当初）'!C207,E207="○",G207="○",I207="○"),"☆","")</f>
        <v/>
      </c>
      <c r="L207" s="66" t="str">
        <f>IF(AND(計算シート!$E$5='計算式あて（当初）'!C207,E207="○",G207="○",I207="○"),"◇","")</f>
        <v/>
      </c>
    </row>
    <row r="208" spans="1:12">
      <c r="A208" s="25"/>
      <c r="B208" s="25"/>
      <c r="C208" s="24">
        <v>38930</v>
      </c>
      <c r="D208" s="23" t="s">
        <v>67</v>
      </c>
      <c r="E208" s="64" t="str">
        <f>IFERROR(IF(D208=計算シート!$B$7,"○",""),"")</f>
        <v/>
      </c>
      <c r="F208" s="23" t="s">
        <v>584</v>
      </c>
      <c r="G208" s="64" t="str">
        <f>IFERROR(IF(AND(計算シート!$B$11&gt;11870,計算シート!$B$11&lt;=12790),"○",""),"")</f>
        <v/>
      </c>
      <c r="H208" s="23" t="s">
        <v>82</v>
      </c>
      <c r="I208" s="64" t="str">
        <f t="shared" si="23"/>
        <v/>
      </c>
      <c r="J208" s="64">
        <f>ROUNDDOWN(計算シート!$B$11*0.5,0)</f>
        <v>0</v>
      </c>
      <c r="K208" s="64" t="str">
        <f>IF(AND(計算シート!$E$3='計算式あて（当初）'!C208,E208="○",G208="○",I208="○"),"☆","")</f>
        <v/>
      </c>
      <c r="L208" s="66" t="str">
        <f>IF(AND(計算シート!$E$5='計算式あて（当初）'!C208,E208="○",G208="○",I208="○"),"◇","")</f>
        <v/>
      </c>
    </row>
    <row r="209" spans="1:12">
      <c r="A209" s="25"/>
      <c r="B209" s="25"/>
      <c r="C209" s="24">
        <v>38930</v>
      </c>
      <c r="D209" s="23" t="s">
        <v>67</v>
      </c>
      <c r="E209" s="64" t="str">
        <f>IFERROR(IF(D209=計算シート!$B$7,"○",""),"")</f>
        <v/>
      </c>
      <c r="F209" s="23" t="s">
        <v>333</v>
      </c>
      <c r="G209" s="64" t="str">
        <f>IFERROR(IF(計算シート!$B$11&gt;12790,"○",""),"")</f>
        <v/>
      </c>
      <c r="H209" s="23" t="s">
        <v>337</v>
      </c>
      <c r="I209" s="64" t="str">
        <f t="shared" si="23"/>
        <v/>
      </c>
      <c r="J209" s="64">
        <v>6395</v>
      </c>
      <c r="K209" s="64" t="str">
        <f>IF(AND(計算シート!$E$3='計算式あて（当初）'!C209,E209="○",G209="○",I209="○"),"☆","")</f>
        <v/>
      </c>
      <c r="L209" s="66" t="str">
        <f>IF(AND(計算シート!$E$5='計算式あて（当初）'!C209,E209="○",G209="○",I209="○"),"◇","")</f>
        <v/>
      </c>
    </row>
    <row r="210" spans="1:12">
      <c r="A210" s="25"/>
      <c r="B210" s="25"/>
      <c r="C210" s="24">
        <v>38930</v>
      </c>
      <c r="D210" s="23" t="s">
        <v>68</v>
      </c>
      <c r="E210" s="64" t="str">
        <f>IFERROR(IF(D210=計算シート!$B$7,"○",""),"")</f>
        <v/>
      </c>
      <c r="F210" s="23" t="s">
        <v>256</v>
      </c>
      <c r="G210" s="64" t="str">
        <f>IFERROR(IF(AND(計算シート!$B$11&gt;=2080,計算シート!$B$11&lt;4100),"○",""),"")</f>
        <v/>
      </c>
      <c r="H210" s="23" t="s">
        <v>80</v>
      </c>
      <c r="I210" s="64" t="str">
        <f t="shared" si="23"/>
        <v/>
      </c>
      <c r="J210" s="64">
        <f>ROUNDDOWN(計算シート!$B$11*0.8,0)</f>
        <v>0</v>
      </c>
      <c r="K210" s="64" t="str">
        <f>IF(AND(計算シート!$E$3='計算式あて（当初）'!C210,E210="○",G210="○",I210="○"),"☆","")</f>
        <v/>
      </c>
      <c r="L210" s="66" t="str">
        <f>IF(AND(計算シート!$E$5='計算式あて（当初）'!C210,E210="○",G210="○",I210="○"),"◇","")</f>
        <v/>
      </c>
    </row>
    <row r="211" spans="1:12">
      <c r="A211" s="25"/>
      <c r="B211" s="25"/>
      <c r="C211" s="24">
        <v>38930</v>
      </c>
      <c r="D211" s="23" t="s">
        <v>68</v>
      </c>
      <c r="E211" s="64" t="str">
        <f>IFERROR(IF(D211=計算シート!$B$7,"○",""),"")</f>
        <v/>
      </c>
      <c r="F211" s="23" t="s">
        <v>583</v>
      </c>
      <c r="G211" s="64" t="str">
        <f>IFERROR(IF(AND(計算シート!$B$11&gt;=4100,計算シート!$B$11&lt;=11870),"○",""),"")</f>
        <v/>
      </c>
      <c r="H211" s="23" t="s">
        <v>395</v>
      </c>
      <c r="I211" s="64" t="str">
        <f t="shared" si="23"/>
        <v/>
      </c>
      <c r="J211" s="64">
        <f>ROUNDDOWN(0.8*計算シート!$B$11-0.3*((計算シート!$B$11-4100)/(11870-4100))*計算シート!$B$11,0)</f>
        <v>0</v>
      </c>
      <c r="K211" s="64" t="str">
        <f>IF(AND(計算シート!$E$3='計算式あて（当初）'!C211,E211="○",G211="○",I211="○"),"☆","")</f>
        <v/>
      </c>
      <c r="L211" s="66" t="str">
        <f>IF(AND(計算シート!$E$5='計算式あて（当初）'!C211,E211="○",G211="○",I211="○"),"◇","")</f>
        <v/>
      </c>
    </row>
    <row r="212" spans="1:12">
      <c r="A212" s="25"/>
      <c r="B212" s="25"/>
      <c r="C212" s="24">
        <v>38930</v>
      </c>
      <c r="D212" s="23" t="s">
        <v>68</v>
      </c>
      <c r="E212" s="64" t="str">
        <f>IFERROR(IF(D212=計算シート!$B$7,"○",""),"")</f>
        <v/>
      </c>
      <c r="F212" s="23" t="s">
        <v>585</v>
      </c>
      <c r="G212" s="64" t="str">
        <f>IFERROR(IF(AND(計算シート!$B$11&gt;11870,計算シート!$B$11&lt;=14200),"○",""),"")</f>
        <v/>
      </c>
      <c r="H212" s="23" t="s">
        <v>82</v>
      </c>
      <c r="I212" s="64" t="str">
        <f t="shared" si="23"/>
        <v/>
      </c>
      <c r="J212" s="64">
        <f>ROUNDDOWN(計算シート!$B$11*0.5,0)</f>
        <v>0</v>
      </c>
      <c r="K212" s="64" t="str">
        <f>IF(AND(計算シート!$E$3='計算式あて（当初）'!C212,E212="○",G212="○",I212="○"),"☆","")</f>
        <v/>
      </c>
      <c r="L212" s="66" t="str">
        <f>IF(AND(計算シート!$E$5='計算式あて（当初）'!C212,E212="○",G212="○",I212="○"),"◇","")</f>
        <v/>
      </c>
    </row>
    <row r="213" spans="1:12">
      <c r="A213" s="25"/>
      <c r="B213" s="25"/>
      <c r="C213" s="24">
        <v>38930</v>
      </c>
      <c r="D213" s="23" t="s">
        <v>68</v>
      </c>
      <c r="E213" s="64" t="str">
        <f>IFERROR(IF(D213=計算シート!$B$7,"○",""),"")</f>
        <v/>
      </c>
      <c r="F213" s="23" t="s">
        <v>339</v>
      </c>
      <c r="G213" s="64" t="str">
        <f>IFERROR(IF(計算シート!$B$11&gt;14200,"○",""),"")</f>
        <v/>
      </c>
      <c r="H213" s="23" t="s">
        <v>345</v>
      </c>
      <c r="I213" s="64" t="str">
        <f t="shared" si="23"/>
        <v/>
      </c>
      <c r="J213" s="64">
        <v>7100</v>
      </c>
      <c r="K213" s="64" t="str">
        <f>IF(AND(計算シート!$E$3='計算式あて（当初）'!C213,E213="○",G213="○",I213="○"),"☆","")</f>
        <v/>
      </c>
      <c r="L213" s="66" t="str">
        <f>IF(AND(計算シート!$E$5='計算式あて（当初）'!C213,E213="○",G213="○",I213="○"),"◇","")</f>
        <v/>
      </c>
    </row>
    <row r="214" spans="1:12">
      <c r="A214" s="25"/>
      <c r="B214" s="25"/>
      <c r="C214" s="24">
        <v>38930</v>
      </c>
      <c r="D214" s="23" t="s">
        <v>69</v>
      </c>
      <c r="E214" s="64" t="str">
        <f>IFERROR(IF(D214=計算シート!$B$7,"○",""),"")</f>
        <v/>
      </c>
      <c r="F214" s="23" t="s">
        <v>256</v>
      </c>
      <c r="G214" s="64" t="str">
        <f>IFERROR(IF(AND(計算シート!$B$11&gt;=2080,計算シート!$B$11&lt;4100),"○",""),"")</f>
        <v/>
      </c>
      <c r="H214" s="23" t="s">
        <v>80</v>
      </c>
      <c r="I214" s="64" t="str">
        <f t="shared" si="23"/>
        <v/>
      </c>
      <c r="J214" s="64">
        <f>ROUNDDOWN(計算シート!$B$11*0.8,0)</f>
        <v>0</v>
      </c>
      <c r="K214" s="64" t="str">
        <f>IF(AND(計算シート!$E$3='計算式あて（当初）'!C214,E214="○",G214="○",I214="○"),"☆","")</f>
        <v/>
      </c>
      <c r="L214" s="66" t="str">
        <f>IF(AND(計算シート!$E$5='計算式あて（当初）'!C214,E214="○",G214="○",I214="○"),"◇","")</f>
        <v/>
      </c>
    </row>
    <row r="215" spans="1:12">
      <c r="A215" s="25"/>
      <c r="B215" s="25"/>
      <c r="C215" s="24">
        <v>38930</v>
      </c>
      <c r="D215" s="23" t="s">
        <v>69</v>
      </c>
      <c r="E215" s="64" t="str">
        <f>IFERROR(IF(D215=計算シート!$B$7,"○",""),"")</f>
        <v/>
      </c>
      <c r="F215" s="23" t="s">
        <v>583</v>
      </c>
      <c r="G215" s="64" t="str">
        <f>IFERROR(IF(AND(計算シート!$B$11&gt;=4100,計算シート!$B$11&lt;=11870),"○",""),"")</f>
        <v/>
      </c>
      <c r="H215" s="23" t="s">
        <v>395</v>
      </c>
      <c r="I215" s="64" t="str">
        <f t="shared" si="23"/>
        <v/>
      </c>
      <c r="J215" s="64">
        <f>ROUNDDOWN(0.8*計算シート!$B$11-0.3*((計算シート!$B$11-4100)/(11870-4100))*計算シート!$B$11,0)</f>
        <v>0</v>
      </c>
      <c r="K215" s="64" t="str">
        <f>IF(AND(計算シート!$E$3='計算式あて（当初）'!C215,E215="○",G215="○",I215="○"),"☆","")</f>
        <v/>
      </c>
      <c r="L215" s="66" t="str">
        <f>IF(AND(計算シート!$E$5='計算式あて（当初）'!C215,E215="○",G215="○",I215="○"),"◇","")</f>
        <v/>
      </c>
    </row>
    <row r="216" spans="1:12">
      <c r="A216" s="25"/>
      <c r="B216" s="25"/>
      <c r="C216" s="24">
        <v>38930</v>
      </c>
      <c r="D216" s="23" t="s">
        <v>69</v>
      </c>
      <c r="E216" s="64" t="str">
        <f>IFERROR(IF(D216=計算シート!$B$7,"○",""),"")</f>
        <v/>
      </c>
      <c r="F216" s="23" t="s">
        <v>586</v>
      </c>
      <c r="G216" s="64" t="str">
        <f>IFERROR(IF(AND(計算シート!$B$11&gt;11870,計算シート!$B$11&lt;=15620),"○",""),"")</f>
        <v/>
      </c>
      <c r="H216" s="23" t="s">
        <v>82</v>
      </c>
      <c r="I216" s="64" t="str">
        <f t="shared" si="23"/>
        <v/>
      </c>
      <c r="J216" s="64">
        <f>ROUNDDOWN(計算シート!$B$11*0.5,0)</f>
        <v>0</v>
      </c>
      <c r="K216" s="64" t="str">
        <f>IF(AND(計算シート!$E$3='計算式あて（当初）'!C216,E216="○",G216="○",I216="○"),"☆","")</f>
        <v/>
      </c>
      <c r="L216" s="66" t="str">
        <f>IF(AND(計算シート!$E$5='計算式あて（当初）'!C216,E216="○",G216="○",I216="○"),"◇","")</f>
        <v/>
      </c>
    </row>
    <row r="217" spans="1:12">
      <c r="A217" s="25"/>
      <c r="B217" s="25"/>
      <c r="C217" s="24">
        <v>38930</v>
      </c>
      <c r="D217" s="23" t="s">
        <v>69</v>
      </c>
      <c r="E217" s="64" t="str">
        <f>IFERROR(IF(D217=計算シート!$B$7,"○",""),"")</f>
        <v/>
      </c>
      <c r="F217" s="23" t="s">
        <v>328</v>
      </c>
      <c r="G217" s="64" t="str">
        <f>IFERROR(IF(計算シート!$B$11&gt;15620,"○",""),"")</f>
        <v/>
      </c>
      <c r="H217" s="23" t="s">
        <v>335</v>
      </c>
      <c r="I217" s="64" t="str">
        <f t="shared" si="23"/>
        <v/>
      </c>
      <c r="J217" s="64">
        <v>7810</v>
      </c>
      <c r="K217" s="64" t="str">
        <f>IF(AND(計算シート!$E$3='計算式あて（当初）'!C217,E217="○",G217="○",I217="○"),"☆","")</f>
        <v/>
      </c>
      <c r="L217" s="66" t="str">
        <f>IF(AND(計算シート!$E$5='計算式あて（当初）'!C217,E217="○",G217="○",I217="○"),"◇","")</f>
        <v/>
      </c>
    </row>
    <row r="218" spans="1:12">
      <c r="A218" s="25"/>
      <c r="B218" s="25"/>
      <c r="C218" s="24">
        <v>38930</v>
      </c>
      <c r="D218" s="23" t="s">
        <v>70</v>
      </c>
      <c r="E218" s="64" t="str">
        <f>IFERROR(IF(D218=計算シート!$B$7,"○",""),"")</f>
        <v/>
      </c>
      <c r="F218" s="23" t="s">
        <v>256</v>
      </c>
      <c r="G218" s="64" t="str">
        <f>IFERROR(IF(AND(計算シート!$B$11&gt;=2080,計算シート!$B$11&lt;4100),"○",""),"")</f>
        <v/>
      </c>
      <c r="H218" s="23" t="s">
        <v>80</v>
      </c>
      <c r="I218" s="64" t="str">
        <f t="shared" si="23"/>
        <v/>
      </c>
      <c r="J218" s="64">
        <f>ROUNDDOWN(計算シート!$B$11*0.8,0)</f>
        <v>0</v>
      </c>
      <c r="K218" s="64" t="str">
        <f>IF(AND(計算シート!$E$3='計算式あて（当初）'!C218,E218="○",G218="○",I218="○"),"☆","")</f>
        <v/>
      </c>
      <c r="L218" s="66" t="str">
        <f>IF(AND(計算シート!$E$5='計算式あて（当初）'!C218,E218="○",G218="○",I218="○"),"◇","")</f>
        <v/>
      </c>
    </row>
    <row r="219" spans="1:12">
      <c r="A219" s="25"/>
      <c r="B219" s="25"/>
      <c r="C219" s="24">
        <v>38930</v>
      </c>
      <c r="D219" s="23" t="s">
        <v>70</v>
      </c>
      <c r="E219" s="64" t="str">
        <f>IFERROR(IF(D219=計算シート!$B$7,"○",""),"")</f>
        <v/>
      </c>
      <c r="F219" s="23" t="s">
        <v>587</v>
      </c>
      <c r="G219" s="64" t="str">
        <f>IFERROR(IF(AND(計算シート!$B$11&gt;=4100,計算シート!$B$11&lt;=10640),"○",""),"")</f>
        <v/>
      </c>
      <c r="H219" s="23" t="s">
        <v>396</v>
      </c>
      <c r="I219" s="64" t="str">
        <f>IFERROR(IF(J219&lt;J220,"○",""),"")</f>
        <v>○</v>
      </c>
      <c r="J219" s="64">
        <f>ROUNDDOWN(0.8*計算シート!$B$11-0.35*((計算シート!$B$11-4100)/(10640-4100))*計算シート!$B$11,0)</f>
        <v>0</v>
      </c>
      <c r="K219" s="64" t="str">
        <f>IF(AND(計算シート!$E$3='計算式あて（当初）'!C219,E219="○",G219="○",I219="○"),"☆","")</f>
        <v/>
      </c>
      <c r="L219" s="66" t="str">
        <f>IF(AND(計算シート!$E$5='計算式あて（当初）'!C219,E219="○",G219="○",I219="○"),"◇","")</f>
        <v/>
      </c>
    </row>
    <row r="220" spans="1:12">
      <c r="A220" s="25"/>
      <c r="B220" s="25"/>
      <c r="C220" s="24">
        <v>38930</v>
      </c>
      <c r="D220" s="23" t="s">
        <v>70</v>
      </c>
      <c r="E220" s="64" t="str">
        <f>IFERROR(IF(D220=計算シート!$B$7,"○",""),"")</f>
        <v/>
      </c>
      <c r="F220" s="23" t="s">
        <v>587</v>
      </c>
      <c r="G220" s="64" t="str">
        <f>IFERROR(IF(AND(計算シート!$B$11&gt;=4100,計算シート!$B$11&lt;=10640),"○",""),"")</f>
        <v/>
      </c>
      <c r="H220" s="23" t="s">
        <v>397</v>
      </c>
      <c r="I220" s="64" t="str">
        <f>IFERROR(IF(J220&lt;J219,"○",""),"")</f>
        <v/>
      </c>
      <c r="J220" s="64">
        <f>ROUNDDOWN(計算シート!$B$11*0.05+(10640*0.4),0)</f>
        <v>4256</v>
      </c>
      <c r="K220" s="64" t="str">
        <f>IF(AND(計算シート!$E$3='計算式あて（当初）'!C220,E220="○",G220="○",I220="○"),"☆","")</f>
        <v/>
      </c>
      <c r="L220" s="66" t="str">
        <f>IF(AND(計算シート!$E$5='計算式あて（当初）'!C220,E220="○",G220="○",I220="○"),"◇","")</f>
        <v/>
      </c>
    </row>
    <row r="221" spans="1:12">
      <c r="A221" s="25"/>
      <c r="B221" s="25"/>
      <c r="C221" s="24">
        <v>38930</v>
      </c>
      <c r="D221" s="23" t="s">
        <v>70</v>
      </c>
      <c r="E221" s="64" t="str">
        <f>IFERROR(IF(D221=計算シート!$B$7,"○",""),"")</f>
        <v/>
      </c>
      <c r="F221" s="23" t="s">
        <v>398</v>
      </c>
      <c r="G221" s="64" t="str">
        <f>IFERROR(IF(AND(計算シート!$B$11&gt;10640,計算シート!$B$11&lt;=15130),"○",""),"")</f>
        <v/>
      </c>
      <c r="H221" s="23" t="s">
        <v>84</v>
      </c>
      <c r="I221" s="64" t="str">
        <f t="shared" ref="I221:I222" si="24">G221</f>
        <v/>
      </c>
      <c r="J221" s="64">
        <f>ROUNDDOWN(計算シート!$B$11*0.45,0)</f>
        <v>0</v>
      </c>
      <c r="K221" s="64" t="str">
        <f>IF(AND(計算シート!$E$3='計算式あて（当初）'!C221,E221="○",G221="○",I221="○"),"☆","")</f>
        <v/>
      </c>
      <c r="L221" s="66" t="str">
        <f>IF(AND(計算シート!$E$5='計算式あて（当初）'!C221,E221="○",G221="○",I221="○"),"◇","")</f>
        <v/>
      </c>
    </row>
    <row r="222" spans="1:12">
      <c r="A222" s="27"/>
      <c r="B222" s="28"/>
      <c r="C222" s="24">
        <v>38930</v>
      </c>
      <c r="D222" s="23" t="s">
        <v>70</v>
      </c>
      <c r="E222" s="64" t="str">
        <f>IFERROR(IF(D222=計算シート!$B$7,"○",""),"")</f>
        <v/>
      </c>
      <c r="F222" s="23" t="s">
        <v>399</v>
      </c>
      <c r="G222" s="64" t="str">
        <f>IFERROR(IF(計算シート!$B$11&gt;15130,"○",""),"")</f>
        <v/>
      </c>
      <c r="H222" s="23" t="s">
        <v>400</v>
      </c>
      <c r="I222" s="64" t="str">
        <f t="shared" si="24"/>
        <v/>
      </c>
      <c r="J222" s="64">
        <v>6808</v>
      </c>
      <c r="K222" s="64" t="str">
        <f>IF(AND(計算シート!$E$3='計算式あて（当初）'!C222,E222="○",G222="○",I222="○"),"☆","")</f>
        <v/>
      </c>
      <c r="L222" s="66" t="str">
        <f>IF(AND(計算シート!$E$5='計算式あて（当初）'!C222,E222="○",G222="○",I222="○"),"◇","")</f>
        <v/>
      </c>
    </row>
    <row r="223" spans="1:12" ht="27">
      <c r="A223" s="25"/>
      <c r="B223" s="26" t="s">
        <v>435</v>
      </c>
      <c r="C223" s="24">
        <v>38565</v>
      </c>
      <c r="D223" s="23" t="s">
        <v>67</v>
      </c>
      <c r="E223" s="64" t="str">
        <f>IFERROR(IF(D223=計算シート!$B$7,"○",""),"")</f>
        <v/>
      </c>
      <c r="F223" s="23" t="s">
        <v>246</v>
      </c>
      <c r="G223" s="64" t="str">
        <f>IFERROR(IF(AND(計算シート!$B$11&gt;=2070,計算シート!$B$11&lt;4080),"○",""),"")</f>
        <v/>
      </c>
      <c r="H223" s="23" t="s">
        <v>80</v>
      </c>
      <c r="I223" s="64" t="str">
        <f>G223</f>
        <v/>
      </c>
      <c r="J223" s="64">
        <f>ROUNDDOWN(計算シート!$B$11*0.8,0)</f>
        <v>0</v>
      </c>
      <c r="K223" s="64" t="str">
        <f>IF(AND(計算シート!$E$3='計算式あて（当初）'!C223,E223="○",G223="○",I223="○"),"☆","")</f>
        <v/>
      </c>
      <c r="L223" s="66" t="str">
        <f>IF(AND(計算シート!$E$5='計算式あて（当初）'!C223,E223="○",G223="○",I223="○"),"◇","")</f>
        <v/>
      </c>
    </row>
    <row r="224" spans="1:12">
      <c r="A224" s="25"/>
      <c r="B224" s="25"/>
      <c r="C224" s="24">
        <v>38565</v>
      </c>
      <c r="D224" s="23" t="s">
        <v>67</v>
      </c>
      <c r="E224" s="64" t="str">
        <f>IFERROR(IF(D224=計算シート!$B$7,"○",""),"")</f>
        <v/>
      </c>
      <c r="F224" s="23" t="s">
        <v>496</v>
      </c>
      <c r="G224" s="64" t="str">
        <f>IFERROR(IF(AND(計算シート!$B$11&gt;=4080,計算シート!$B$11&lt;=11830),"○",""),"")</f>
        <v/>
      </c>
      <c r="H224" s="23" t="s">
        <v>247</v>
      </c>
      <c r="I224" s="64" t="str">
        <f t="shared" ref="I224:I235" si="25">G224</f>
        <v/>
      </c>
      <c r="J224" s="64">
        <f>ROUNDDOWN(0.8*計算シート!$B$11-0.3*((計算シート!$B$11-4080)/(11830-4080))*計算シート!$B$11,0)</f>
        <v>0</v>
      </c>
      <c r="K224" s="64" t="str">
        <f>IF(AND(計算シート!$E$3='計算式あて（当初）'!C224,E224="○",G224="○",I224="○"),"☆","")</f>
        <v/>
      </c>
      <c r="L224" s="66" t="str">
        <f>IF(AND(計算シート!$E$5='計算式あて（当初）'!C224,E224="○",G224="○",I224="○"),"◇","")</f>
        <v/>
      </c>
    </row>
    <row r="225" spans="1:12">
      <c r="A225" s="25"/>
      <c r="B225" s="25"/>
      <c r="C225" s="24">
        <v>38565</v>
      </c>
      <c r="D225" s="23" t="s">
        <v>67</v>
      </c>
      <c r="E225" s="64" t="str">
        <f>IFERROR(IF(D225=計算シート!$B$7,"○",""),"")</f>
        <v/>
      </c>
      <c r="F225" s="23" t="s">
        <v>497</v>
      </c>
      <c r="G225" s="64" t="str">
        <f>IFERROR(IF(AND(計算シート!$B$11&gt;11830,計算シート!$B$11&lt;=12740),"○",""),"")</f>
        <v/>
      </c>
      <c r="H225" s="23" t="s">
        <v>82</v>
      </c>
      <c r="I225" s="64" t="str">
        <f t="shared" si="25"/>
        <v/>
      </c>
      <c r="J225" s="64">
        <f>ROUNDDOWN(計算シート!$B$11*0.5,0)</f>
        <v>0</v>
      </c>
      <c r="K225" s="64" t="str">
        <f>IF(AND(計算シート!$E$3='計算式あて（当初）'!C225,E225="○",G225="○",I225="○"),"☆","")</f>
        <v/>
      </c>
      <c r="L225" s="66" t="str">
        <f>IF(AND(計算シート!$E$5='計算式あて（当初）'!C225,E225="○",G225="○",I225="○"),"◇","")</f>
        <v/>
      </c>
    </row>
    <row r="226" spans="1:12">
      <c r="A226" s="25"/>
      <c r="B226" s="25"/>
      <c r="C226" s="24">
        <v>38565</v>
      </c>
      <c r="D226" s="23" t="s">
        <v>67</v>
      </c>
      <c r="E226" s="64" t="str">
        <f>IFERROR(IF(D226=計算シート!$B$7,"○",""),"")</f>
        <v/>
      </c>
      <c r="F226" s="23" t="s">
        <v>252</v>
      </c>
      <c r="G226" s="64" t="str">
        <f>IFERROR(IF(計算シート!$B$11&gt;12740,"○",""),"")</f>
        <v/>
      </c>
      <c r="H226" s="23" t="s">
        <v>255</v>
      </c>
      <c r="I226" s="64" t="str">
        <f t="shared" si="25"/>
        <v/>
      </c>
      <c r="J226" s="64">
        <v>6370</v>
      </c>
      <c r="K226" s="64" t="str">
        <f>IF(AND(計算シート!$E$3='計算式あて（当初）'!C226,E226="○",G226="○",I226="○"),"☆","")</f>
        <v/>
      </c>
      <c r="L226" s="66" t="str">
        <f>IF(AND(計算シート!$E$5='計算式あて（当初）'!C226,E226="○",G226="○",I226="○"),"◇","")</f>
        <v/>
      </c>
    </row>
    <row r="227" spans="1:12">
      <c r="A227" s="25"/>
      <c r="B227" s="25"/>
      <c r="C227" s="24">
        <v>38565</v>
      </c>
      <c r="D227" s="23" t="s">
        <v>68</v>
      </c>
      <c r="E227" s="64" t="str">
        <f>IFERROR(IF(D227=計算シート!$B$7,"○",""),"")</f>
        <v/>
      </c>
      <c r="F227" s="23" t="s">
        <v>246</v>
      </c>
      <c r="G227" s="64" t="str">
        <f>IFERROR(IF(AND(計算シート!$B$11&gt;=2070,計算シート!$B$11&lt;4080),"○",""),"")</f>
        <v/>
      </c>
      <c r="H227" s="23" t="s">
        <v>80</v>
      </c>
      <c r="I227" s="64" t="str">
        <f t="shared" si="25"/>
        <v/>
      </c>
      <c r="J227" s="64">
        <f>ROUNDDOWN(計算シート!$B$11*0.8,0)</f>
        <v>0</v>
      </c>
      <c r="K227" s="64" t="str">
        <f>IF(AND(計算シート!$E$3='計算式あて（当初）'!C227,E227="○",G227="○",I227="○"),"☆","")</f>
        <v/>
      </c>
      <c r="L227" s="66" t="str">
        <f>IF(AND(計算シート!$E$5='計算式あて（当初）'!C227,E227="○",G227="○",I227="○"),"◇","")</f>
        <v/>
      </c>
    </row>
    <row r="228" spans="1:12">
      <c r="A228" s="25"/>
      <c r="B228" s="25"/>
      <c r="C228" s="24">
        <v>38565</v>
      </c>
      <c r="D228" s="23" t="s">
        <v>68</v>
      </c>
      <c r="E228" s="64" t="str">
        <f>IFERROR(IF(D228=計算シート!$B$7,"○",""),"")</f>
        <v/>
      </c>
      <c r="F228" s="23" t="s">
        <v>496</v>
      </c>
      <c r="G228" s="64" t="str">
        <f>IFERROR(IF(AND(計算シート!$B$11&gt;=4080,計算シート!$B$11&lt;=11830),"○",""),"")</f>
        <v/>
      </c>
      <c r="H228" s="23" t="s">
        <v>247</v>
      </c>
      <c r="I228" s="64" t="str">
        <f t="shared" si="25"/>
        <v/>
      </c>
      <c r="J228" s="64">
        <f>ROUNDDOWN(0.8*計算シート!$B$11-0.3*((計算シート!$B$11-4080)/(11830-4080))*計算シート!$B$11,0)</f>
        <v>0</v>
      </c>
      <c r="K228" s="64" t="str">
        <f>IF(AND(計算シート!$E$3='計算式あて（当初）'!C228,E228="○",G228="○",I228="○"),"☆","")</f>
        <v/>
      </c>
      <c r="L228" s="66" t="str">
        <f>IF(AND(計算シート!$E$5='計算式あて（当初）'!C228,E228="○",G228="○",I228="○"),"◇","")</f>
        <v/>
      </c>
    </row>
    <row r="229" spans="1:12">
      <c r="A229" s="25"/>
      <c r="B229" s="25"/>
      <c r="C229" s="24">
        <v>38565</v>
      </c>
      <c r="D229" s="23" t="s">
        <v>68</v>
      </c>
      <c r="E229" s="64" t="str">
        <f>IFERROR(IF(D229=計算シート!$B$7,"○",""),"")</f>
        <v/>
      </c>
      <c r="F229" s="23" t="s">
        <v>588</v>
      </c>
      <c r="G229" s="64" t="str">
        <f>IFERROR(IF(AND(計算シート!$B$11&gt;11830,計算シート!$B$11&lt;=14150),"○",""),"")</f>
        <v/>
      </c>
      <c r="H229" s="23" t="s">
        <v>82</v>
      </c>
      <c r="I229" s="64" t="str">
        <f t="shared" si="25"/>
        <v/>
      </c>
      <c r="J229" s="64">
        <f>ROUNDDOWN(計算シート!$B$11*0.5,0)</f>
        <v>0</v>
      </c>
      <c r="K229" s="64" t="str">
        <f>IF(AND(計算シート!$E$3='計算式あて（当初）'!C229,E229="○",G229="○",I229="○"),"☆","")</f>
        <v/>
      </c>
      <c r="L229" s="66" t="str">
        <f>IF(AND(計算シート!$E$5='計算式あて（当初）'!C229,E229="○",G229="○",I229="○"),"◇","")</f>
        <v/>
      </c>
    </row>
    <row r="230" spans="1:12">
      <c r="A230" s="25"/>
      <c r="B230" s="25"/>
      <c r="C230" s="24">
        <v>38565</v>
      </c>
      <c r="D230" s="23" t="s">
        <v>68</v>
      </c>
      <c r="E230" s="64" t="str">
        <f>IFERROR(IF(D230=計算シート!$B$7,"○",""),"")</f>
        <v/>
      </c>
      <c r="F230" s="23" t="s">
        <v>317</v>
      </c>
      <c r="G230" s="64" t="str">
        <f>IFERROR(IF(計算シート!$B$11&gt;14150,"○",""),"")</f>
        <v/>
      </c>
      <c r="H230" s="23" t="s">
        <v>320</v>
      </c>
      <c r="I230" s="64" t="str">
        <f t="shared" si="25"/>
        <v/>
      </c>
      <c r="J230" s="64">
        <v>7075</v>
      </c>
      <c r="K230" s="64" t="str">
        <f>IF(AND(計算シート!$E$3='計算式あて（当初）'!C230,E230="○",G230="○",I230="○"),"☆","")</f>
        <v/>
      </c>
      <c r="L230" s="66" t="str">
        <f>IF(AND(計算シート!$E$5='計算式あて（当初）'!C230,E230="○",G230="○",I230="○"),"◇","")</f>
        <v/>
      </c>
    </row>
    <row r="231" spans="1:12">
      <c r="A231" s="25"/>
      <c r="B231" s="25"/>
      <c r="C231" s="24">
        <v>38565</v>
      </c>
      <c r="D231" s="23" t="s">
        <v>69</v>
      </c>
      <c r="E231" s="64" t="str">
        <f>IFERROR(IF(D231=計算シート!$B$7,"○",""),"")</f>
        <v/>
      </c>
      <c r="F231" s="23" t="s">
        <v>246</v>
      </c>
      <c r="G231" s="64" t="str">
        <f>IFERROR(IF(AND(計算シート!$B$11&gt;=2070,計算シート!$B$11&lt;4080),"○",""),"")</f>
        <v/>
      </c>
      <c r="H231" s="23" t="s">
        <v>80</v>
      </c>
      <c r="I231" s="64" t="str">
        <f t="shared" si="25"/>
        <v/>
      </c>
      <c r="J231" s="64">
        <f>ROUNDDOWN(計算シート!$B$11*0.8,0)</f>
        <v>0</v>
      </c>
      <c r="K231" s="64" t="str">
        <f>IF(AND(計算シート!$E$3='計算式あて（当初）'!C231,E231="○",G231="○",I231="○"),"☆","")</f>
        <v/>
      </c>
      <c r="L231" s="66" t="str">
        <f>IF(AND(計算シート!$E$5='計算式あて（当初）'!C231,E231="○",G231="○",I231="○"),"◇","")</f>
        <v/>
      </c>
    </row>
    <row r="232" spans="1:12">
      <c r="A232" s="25"/>
      <c r="B232" s="25"/>
      <c r="C232" s="24">
        <v>38565</v>
      </c>
      <c r="D232" s="23" t="s">
        <v>69</v>
      </c>
      <c r="E232" s="64" t="str">
        <f>IFERROR(IF(D232=計算シート!$B$7,"○",""),"")</f>
        <v/>
      </c>
      <c r="F232" s="23" t="s">
        <v>496</v>
      </c>
      <c r="G232" s="64" t="str">
        <f>IFERROR(IF(AND(計算シート!$B$11&gt;=4080,計算シート!$B$11&lt;=11830),"○",""),"")</f>
        <v/>
      </c>
      <c r="H232" s="23" t="s">
        <v>247</v>
      </c>
      <c r="I232" s="64" t="str">
        <f t="shared" si="25"/>
        <v/>
      </c>
      <c r="J232" s="64">
        <f>ROUNDDOWN(0.8*計算シート!$B$11-0.3*((計算シート!$B$11-4080)/(11830-4080))*計算シート!$B$11,0)</f>
        <v>0</v>
      </c>
      <c r="K232" s="64" t="str">
        <f>IF(AND(計算シート!$E$3='計算式あて（当初）'!C232,E232="○",G232="○",I232="○"),"☆","")</f>
        <v/>
      </c>
      <c r="L232" s="66" t="str">
        <f>IF(AND(計算シート!$E$5='計算式あて（当初）'!C232,E232="○",G232="○",I232="○"),"◇","")</f>
        <v/>
      </c>
    </row>
    <row r="233" spans="1:12">
      <c r="A233" s="25"/>
      <c r="B233" s="25"/>
      <c r="C233" s="24">
        <v>38565</v>
      </c>
      <c r="D233" s="23" t="s">
        <v>69</v>
      </c>
      <c r="E233" s="64" t="str">
        <f>IFERROR(IF(D233=計算シート!$B$7,"○",""),"")</f>
        <v/>
      </c>
      <c r="F233" s="23" t="s">
        <v>589</v>
      </c>
      <c r="G233" s="64" t="str">
        <f>IFERROR(IF(AND(計算シート!$B$11&gt;11830,計算シート!$B$11&lt;=15560),"○",""),"")</f>
        <v/>
      </c>
      <c r="H233" s="23" t="s">
        <v>82</v>
      </c>
      <c r="I233" s="64" t="str">
        <f t="shared" si="25"/>
        <v/>
      </c>
      <c r="J233" s="64">
        <f>ROUNDDOWN(計算シート!$B$11*0.5,0)</f>
        <v>0</v>
      </c>
      <c r="K233" s="64" t="str">
        <f>IF(AND(計算シート!$E$3='計算式あて（当初）'!C233,E233="○",G233="○",I233="○"),"☆","")</f>
        <v/>
      </c>
      <c r="L233" s="66" t="str">
        <f>IF(AND(計算シート!$E$5='計算式あて（当初）'!C233,E233="○",G233="○",I233="○"),"◇","")</f>
        <v/>
      </c>
    </row>
    <row r="234" spans="1:12">
      <c r="A234" s="25"/>
      <c r="B234" s="25"/>
      <c r="C234" s="24">
        <v>38565</v>
      </c>
      <c r="D234" s="23" t="s">
        <v>69</v>
      </c>
      <c r="E234" s="64" t="str">
        <f>IFERROR(IF(D234=計算シート!$B$7,"○",""),"")</f>
        <v/>
      </c>
      <c r="F234" s="23" t="s">
        <v>401</v>
      </c>
      <c r="G234" s="64" t="str">
        <f>IFERROR(IF(計算シート!$B$11&gt;15560,"○",""),"")</f>
        <v/>
      </c>
      <c r="H234" s="23" t="s">
        <v>402</v>
      </c>
      <c r="I234" s="64" t="str">
        <f t="shared" si="25"/>
        <v/>
      </c>
      <c r="J234" s="64">
        <v>7780</v>
      </c>
      <c r="K234" s="64" t="str">
        <f>IF(AND(計算シート!$E$3='計算式あて（当初）'!C234,E234="○",G234="○",I234="○"),"☆","")</f>
        <v/>
      </c>
      <c r="L234" s="66" t="str">
        <f>IF(AND(計算シート!$E$5='計算式あて（当初）'!C234,E234="○",G234="○",I234="○"),"◇","")</f>
        <v/>
      </c>
    </row>
    <row r="235" spans="1:12">
      <c r="A235" s="25"/>
      <c r="B235" s="25"/>
      <c r="C235" s="24">
        <v>38565</v>
      </c>
      <c r="D235" s="23" t="s">
        <v>70</v>
      </c>
      <c r="E235" s="64" t="str">
        <f>IFERROR(IF(D235=計算シート!$B$7,"○",""),"")</f>
        <v/>
      </c>
      <c r="F235" s="23" t="s">
        <v>246</v>
      </c>
      <c r="G235" s="64" t="str">
        <f>IFERROR(IF(AND(計算シート!$B$11&gt;=2070,計算シート!$B$11&lt;4080),"○",""),"")</f>
        <v/>
      </c>
      <c r="H235" s="23" t="s">
        <v>80</v>
      </c>
      <c r="I235" s="64" t="str">
        <f t="shared" si="25"/>
        <v/>
      </c>
      <c r="J235" s="64">
        <f>ROUNDDOWN(計算シート!$B$11*0.8,0)</f>
        <v>0</v>
      </c>
      <c r="K235" s="64" t="str">
        <f>IF(AND(計算シート!$E$3='計算式あて（当初）'!C235,E235="○",G235="○",I235="○"),"☆","")</f>
        <v/>
      </c>
      <c r="L235" s="66" t="str">
        <f>IF(AND(計算シート!$E$5='計算式あて（当初）'!C235,E235="○",G235="○",I235="○"),"◇","")</f>
        <v/>
      </c>
    </row>
    <row r="236" spans="1:12">
      <c r="A236" s="25"/>
      <c r="B236" s="25"/>
      <c r="C236" s="24">
        <v>38565</v>
      </c>
      <c r="D236" s="23" t="s">
        <v>70</v>
      </c>
      <c r="E236" s="64" t="str">
        <f>IFERROR(IF(D236=計算シート!$B$7,"○",""),"")</f>
        <v/>
      </c>
      <c r="F236" s="23" t="s">
        <v>500</v>
      </c>
      <c r="G236" s="64" t="str">
        <f>IFERROR(IF(AND(計算シート!$B$11&gt;=4080,計算シート!$B$11&lt;=10600),"○",""),"")</f>
        <v/>
      </c>
      <c r="H236" s="23" t="s">
        <v>249</v>
      </c>
      <c r="I236" s="64" t="str">
        <f>IFERROR(IF(J236&lt;J237,"○",""),"")</f>
        <v>○</v>
      </c>
      <c r="J236" s="64">
        <f>ROUNDDOWN(0.8*計算シート!$B$11-0.35*((計算シート!$B$11-4080)/(10600-4080))*計算シート!$B$11,0)</f>
        <v>0</v>
      </c>
      <c r="K236" s="64" t="str">
        <f>IF(AND(計算シート!$E$3='計算式あて（当初）'!C236,E236="○",G236="○",I236="○"),"☆","")</f>
        <v/>
      </c>
      <c r="L236" s="66" t="str">
        <f>IF(AND(計算シート!$E$5='計算式あて（当初）'!C236,E236="○",G236="○",I236="○"),"◇","")</f>
        <v/>
      </c>
    </row>
    <row r="237" spans="1:12">
      <c r="A237" s="25"/>
      <c r="B237" s="25"/>
      <c r="C237" s="24">
        <v>38565</v>
      </c>
      <c r="D237" s="23" t="s">
        <v>70</v>
      </c>
      <c r="E237" s="64" t="str">
        <f>IFERROR(IF(D237=計算シート!$B$7,"○",""),"")</f>
        <v/>
      </c>
      <c r="F237" s="23" t="s">
        <v>500</v>
      </c>
      <c r="G237" s="64" t="str">
        <f>IFERROR(IF(AND(計算シート!$B$11&gt;=4080,計算シート!$B$11&lt;=10600),"○",""),"")</f>
        <v/>
      </c>
      <c r="H237" s="23" t="s">
        <v>212</v>
      </c>
      <c r="I237" s="64" t="str">
        <f>IFERROR(IF(J237&lt;J236,"○",""),"")</f>
        <v/>
      </c>
      <c r="J237" s="64">
        <f>ROUNDDOWN(計算シート!$B$11*0.05+(10600*0.4),0)</f>
        <v>4240</v>
      </c>
      <c r="K237" s="64" t="str">
        <f>IF(AND(計算シート!$E$3='計算式あて（当初）'!C237,E237="○",G237="○",I237="○"),"☆","")</f>
        <v/>
      </c>
      <c r="L237" s="66" t="str">
        <f>IF(AND(計算シート!$E$5='計算式あて（当初）'!C237,E237="○",G237="○",I237="○"),"◇","")</f>
        <v/>
      </c>
    </row>
    <row r="238" spans="1:12">
      <c r="A238" s="25"/>
      <c r="B238" s="25"/>
      <c r="C238" s="24">
        <v>38565</v>
      </c>
      <c r="D238" s="23" t="s">
        <v>70</v>
      </c>
      <c r="E238" s="64" t="str">
        <f>IFERROR(IF(D238=計算シート!$B$7,"○",""),"")</f>
        <v/>
      </c>
      <c r="F238" s="23" t="s">
        <v>213</v>
      </c>
      <c r="G238" s="64" t="str">
        <f>IFERROR(IF(AND(計算シート!$B$11&gt;10600,計算シート!$B$11&lt;=15070),"○",""),"")</f>
        <v/>
      </c>
      <c r="H238" s="23" t="s">
        <v>84</v>
      </c>
      <c r="I238" s="64" t="str">
        <f t="shared" ref="I238:I239" si="26">G238</f>
        <v/>
      </c>
      <c r="J238" s="64">
        <f>ROUNDDOWN(計算シート!$B$11*0.45,0)</f>
        <v>0</v>
      </c>
      <c r="K238" s="64" t="str">
        <f>IF(AND(計算シート!$E$3='計算式あて（当初）'!C238,E238="○",G238="○",I238="○"),"☆","")</f>
        <v/>
      </c>
      <c r="L238" s="66" t="str">
        <f>IF(AND(計算シート!$E$5='計算式あて（当初）'!C238,E238="○",G238="○",I238="○"),"◇","")</f>
        <v/>
      </c>
    </row>
    <row r="239" spans="1:12">
      <c r="A239" s="27"/>
      <c r="B239" s="28"/>
      <c r="C239" s="24">
        <v>38565</v>
      </c>
      <c r="D239" s="23" t="s">
        <v>70</v>
      </c>
      <c r="E239" s="64" t="str">
        <f>IFERROR(IF(D239=計算シート!$B$7,"○",""),"")</f>
        <v/>
      </c>
      <c r="F239" s="23" t="s">
        <v>214</v>
      </c>
      <c r="G239" s="64" t="str">
        <f>IFERROR(IF(計算シート!$B$11&gt;15070,"○",""),"")</f>
        <v/>
      </c>
      <c r="H239" s="23" t="s">
        <v>219</v>
      </c>
      <c r="I239" s="64" t="str">
        <f t="shared" si="26"/>
        <v/>
      </c>
      <c r="J239" s="64">
        <v>6781</v>
      </c>
      <c r="K239" s="64" t="str">
        <f>IF(AND(計算シート!$E$3='計算式あて（当初）'!C239,E239="○",G239="○",I239="○"),"☆","")</f>
        <v/>
      </c>
      <c r="L239" s="66" t="str">
        <f>IF(AND(計算シート!$E$5='計算式あて（当初）'!C239,E239="○",G239="○",I239="○"),"◇","")</f>
        <v/>
      </c>
    </row>
    <row r="240" spans="1:12" ht="27">
      <c r="A240" s="25"/>
      <c r="B240" s="26" t="s">
        <v>436</v>
      </c>
      <c r="C240" s="24">
        <v>38200</v>
      </c>
      <c r="D240" s="23" t="s">
        <v>67</v>
      </c>
      <c r="E240" s="64" t="str">
        <f>IFERROR(IF(D240=計算シート!$B$7,"○",""),"")</f>
        <v/>
      </c>
      <c r="F240" s="23" t="s">
        <v>284</v>
      </c>
      <c r="G240" s="64" t="str">
        <f>IFERROR(IF(AND(計算シート!$B$11&gt;=2110,計算シート!$B$11&lt;4160),"○",""),"")</f>
        <v/>
      </c>
      <c r="H240" s="23" t="s">
        <v>80</v>
      </c>
      <c r="I240" s="64" t="str">
        <f>G240</f>
        <v/>
      </c>
      <c r="J240" s="64">
        <f>ROUNDDOWN(計算シート!$B$11*0.8,0)</f>
        <v>0</v>
      </c>
      <c r="K240" s="64" t="str">
        <f>IF(AND(計算シート!$E$3='計算式あて（当初）'!C240,E240="○",G240="○",I240="○"),"☆","")</f>
        <v/>
      </c>
      <c r="L240" s="66" t="str">
        <f>IF(AND(計算シート!$E$5='計算式あて（当初）'!C240,E240="○",G240="○",I240="○"),"◇","")</f>
        <v/>
      </c>
    </row>
    <row r="241" spans="1:12">
      <c r="A241" s="25"/>
      <c r="B241" s="25"/>
      <c r="C241" s="24">
        <v>38200</v>
      </c>
      <c r="D241" s="23" t="s">
        <v>67</v>
      </c>
      <c r="E241" s="64" t="str">
        <f>IFERROR(IF(D241=計算シート!$B$7,"○",""),"")</f>
        <v/>
      </c>
      <c r="F241" s="23" t="s">
        <v>590</v>
      </c>
      <c r="G241" s="64" t="str">
        <f>IFERROR(IF(AND(計算シート!$B$11&gt;=4160,計算シート!$B$11&lt;=12060),"○",""),"")</f>
        <v/>
      </c>
      <c r="H241" s="23" t="s">
        <v>413</v>
      </c>
      <c r="I241" s="64" t="str">
        <f t="shared" ref="I241:I252" si="27">G241</f>
        <v/>
      </c>
      <c r="J241" s="64">
        <f>ROUNDDOWN(0.8*計算シート!$B$11-0.3*((計算シート!$B$11-4160)/(12060-4160))*計算シート!$B$11,0)</f>
        <v>0</v>
      </c>
      <c r="K241" s="64" t="str">
        <f>IF(AND(計算シート!$E$3='計算式あて（当初）'!C241,E241="○",G241="○",I241="○"),"☆","")</f>
        <v/>
      </c>
      <c r="L241" s="66" t="str">
        <f>IF(AND(計算シート!$E$5='計算式あて（当初）'!C241,E241="○",G241="○",I241="○"),"◇","")</f>
        <v/>
      </c>
    </row>
    <row r="242" spans="1:12">
      <c r="A242" s="25"/>
      <c r="B242" s="25"/>
      <c r="C242" s="24">
        <v>38200</v>
      </c>
      <c r="D242" s="23" t="s">
        <v>67</v>
      </c>
      <c r="E242" s="64" t="str">
        <f>IFERROR(IF(D242=計算シート!$B$7,"○",""),"")</f>
        <v/>
      </c>
      <c r="F242" s="23" t="s">
        <v>591</v>
      </c>
      <c r="G242" s="64" t="str">
        <f>IFERROR(IF(AND(計算シート!$B$11&gt;12060,計算シート!$B$11&lt;=12990),"○",""),"")</f>
        <v/>
      </c>
      <c r="H242" s="23" t="s">
        <v>82</v>
      </c>
      <c r="I242" s="64" t="str">
        <f t="shared" si="27"/>
        <v/>
      </c>
      <c r="J242" s="64">
        <f>ROUNDDOWN(計算シート!$B$11*0.5,0)</f>
        <v>0</v>
      </c>
      <c r="K242" s="64" t="str">
        <f>IF(AND(計算シート!$E$3='計算式あて（当初）'!C242,E242="○",G242="○",I242="○"),"☆","")</f>
        <v/>
      </c>
      <c r="L242" s="66" t="str">
        <f>IF(AND(計算シート!$E$5='計算式あて（当初）'!C242,E242="○",G242="○",I242="○"),"◇","")</f>
        <v/>
      </c>
    </row>
    <row r="243" spans="1:12">
      <c r="A243" s="25"/>
      <c r="B243" s="25"/>
      <c r="C243" s="24">
        <v>38200</v>
      </c>
      <c r="D243" s="23" t="s">
        <v>67</v>
      </c>
      <c r="E243" s="64" t="str">
        <f>IFERROR(IF(D243=計算シート!$B$7,"○",""),"")</f>
        <v/>
      </c>
      <c r="F243" s="23" t="s">
        <v>405</v>
      </c>
      <c r="G243" s="64" t="str">
        <f>IFERROR(IF(計算シート!$B$11&gt;12990,"○",""),"")</f>
        <v/>
      </c>
      <c r="H243" s="23" t="s">
        <v>406</v>
      </c>
      <c r="I243" s="64" t="str">
        <f t="shared" si="27"/>
        <v/>
      </c>
      <c r="J243" s="64">
        <v>6495</v>
      </c>
      <c r="K243" s="64" t="str">
        <f>IF(AND(計算シート!$E$3='計算式あて（当初）'!C243,E243="○",G243="○",I243="○"),"☆","")</f>
        <v/>
      </c>
      <c r="L243" s="66" t="str">
        <f>IF(AND(計算シート!$E$5='計算式あて（当初）'!C243,E243="○",G243="○",I243="○"),"◇","")</f>
        <v/>
      </c>
    </row>
    <row r="244" spans="1:12">
      <c r="A244" s="25"/>
      <c r="B244" s="25"/>
      <c r="C244" s="24">
        <v>38200</v>
      </c>
      <c r="D244" s="23" t="s">
        <v>68</v>
      </c>
      <c r="E244" s="64" t="str">
        <f>IFERROR(IF(D244=計算シート!$B$7,"○",""),"")</f>
        <v/>
      </c>
      <c r="F244" s="23" t="s">
        <v>284</v>
      </c>
      <c r="G244" s="64" t="str">
        <f>IFERROR(IF(AND(計算シート!$B$11&gt;=2110,計算シート!$B$11&lt;4160),"○",""),"")</f>
        <v/>
      </c>
      <c r="H244" s="23" t="s">
        <v>80</v>
      </c>
      <c r="I244" s="64" t="str">
        <f t="shared" si="27"/>
        <v/>
      </c>
      <c r="J244" s="64">
        <f>ROUNDDOWN(計算シート!$B$11*0.8,0)</f>
        <v>0</v>
      </c>
      <c r="K244" s="64" t="str">
        <f>IF(AND(計算シート!$E$3='計算式あて（当初）'!C244,E244="○",G244="○",I244="○"),"☆","")</f>
        <v/>
      </c>
      <c r="L244" s="66" t="str">
        <f>IF(AND(計算シート!$E$5='計算式あて（当初）'!C244,E244="○",G244="○",I244="○"),"◇","")</f>
        <v/>
      </c>
    </row>
    <row r="245" spans="1:12">
      <c r="A245" s="25"/>
      <c r="B245" s="25"/>
      <c r="C245" s="24">
        <v>38200</v>
      </c>
      <c r="D245" s="23" t="s">
        <v>68</v>
      </c>
      <c r="E245" s="64" t="str">
        <f>IFERROR(IF(D245=計算シート!$B$7,"○",""),"")</f>
        <v/>
      </c>
      <c r="F245" s="23" t="s">
        <v>590</v>
      </c>
      <c r="G245" s="64" t="str">
        <f>IFERROR(IF(AND(計算シート!$B$11&gt;=4160,計算シート!$B$11&lt;=12060),"○",""),"")</f>
        <v/>
      </c>
      <c r="H245" s="23" t="s">
        <v>413</v>
      </c>
      <c r="I245" s="64" t="str">
        <f t="shared" si="27"/>
        <v/>
      </c>
      <c r="J245" s="64">
        <f>ROUNDDOWN(0.8*計算シート!$B$11-0.3*((計算シート!$B$11-4160)/(12060-4160))*計算シート!$B$11,0)</f>
        <v>0</v>
      </c>
      <c r="K245" s="64" t="str">
        <f>IF(AND(計算シート!$E$3='計算式あて（当初）'!C245,E245="○",G245="○",I245="○"),"☆","")</f>
        <v/>
      </c>
      <c r="L245" s="66" t="str">
        <f>IF(AND(計算シート!$E$5='計算式あて（当初）'!C245,E245="○",G245="○",I245="○"),"◇","")</f>
        <v/>
      </c>
    </row>
    <row r="246" spans="1:12">
      <c r="A246" s="25"/>
      <c r="B246" s="25"/>
      <c r="C246" s="24">
        <v>38200</v>
      </c>
      <c r="D246" s="23" t="s">
        <v>68</v>
      </c>
      <c r="E246" s="64" t="str">
        <f>IFERROR(IF(D246=計算シート!$B$7,"○",""),"")</f>
        <v/>
      </c>
      <c r="F246" s="23" t="s">
        <v>592</v>
      </c>
      <c r="G246" s="64" t="str">
        <f>IFERROR(IF(AND(計算シート!$B$11&gt;12060,計算シート!$B$11&lt;=14430),"○",""),"")</f>
        <v/>
      </c>
      <c r="H246" s="23" t="s">
        <v>82</v>
      </c>
      <c r="I246" s="64" t="str">
        <f t="shared" si="27"/>
        <v/>
      </c>
      <c r="J246" s="64">
        <f>ROUNDDOWN(計算シート!$B$11*0.5,0)</f>
        <v>0</v>
      </c>
      <c r="K246" s="64" t="str">
        <f>IF(AND(計算シート!$E$3='計算式あて（当初）'!C246,E246="○",G246="○",I246="○"),"☆","")</f>
        <v/>
      </c>
      <c r="L246" s="66" t="str">
        <f>IF(AND(計算シート!$E$5='計算式あて（当初）'!C246,E246="○",G246="○",I246="○"),"◇","")</f>
        <v/>
      </c>
    </row>
    <row r="247" spans="1:12">
      <c r="A247" s="25"/>
      <c r="B247" s="25"/>
      <c r="C247" s="24">
        <v>38200</v>
      </c>
      <c r="D247" s="23" t="s">
        <v>68</v>
      </c>
      <c r="E247" s="64" t="str">
        <f>IFERROR(IF(D247=計算シート!$B$7,"○",""),"")</f>
        <v/>
      </c>
      <c r="F247" s="23" t="s">
        <v>403</v>
      </c>
      <c r="G247" s="64" t="str">
        <f>IFERROR(IF(計算シート!$B$11&gt;14430,"○",""),"")</f>
        <v/>
      </c>
      <c r="H247" s="23" t="s">
        <v>407</v>
      </c>
      <c r="I247" s="64" t="str">
        <f t="shared" si="27"/>
        <v/>
      </c>
      <c r="J247" s="64">
        <v>7215</v>
      </c>
      <c r="K247" s="64" t="str">
        <f>IF(AND(計算シート!$E$3='計算式あて（当初）'!C247,E247="○",G247="○",I247="○"),"☆","")</f>
        <v/>
      </c>
      <c r="L247" s="66" t="str">
        <f>IF(AND(計算シート!$E$5='計算式あて（当初）'!C247,E247="○",G247="○",I247="○"),"◇","")</f>
        <v/>
      </c>
    </row>
    <row r="248" spans="1:12">
      <c r="A248" s="25"/>
      <c r="B248" s="25"/>
      <c r="C248" s="24">
        <v>38200</v>
      </c>
      <c r="D248" s="23" t="s">
        <v>69</v>
      </c>
      <c r="E248" s="64" t="str">
        <f>IFERROR(IF(D248=計算シート!$B$7,"○",""),"")</f>
        <v/>
      </c>
      <c r="F248" s="23" t="s">
        <v>284</v>
      </c>
      <c r="G248" s="64" t="str">
        <f>IFERROR(IF(AND(計算シート!$B$11&gt;=2110,計算シート!$B$11&lt;4160),"○",""),"")</f>
        <v/>
      </c>
      <c r="H248" s="23" t="s">
        <v>80</v>
      </c>
      <c r="I248" s="64" t="str">
        <f t="shared" si="27"/>
        <v/>
      </c>
      <c r="J248" s="64">
        <f>ROUNDDOWN(計算シート!$B$11*0.8,0)</f>
        <v>0</v>
      </c>
      <c r="K248" s="64" t="str">
        <f>IF(AND(計算シート!$E$3='計算式あて（当初）'!C248,E248="○",G248="○",I248="○"),"☆","")</f>
        <v/>
      </c>
      <c r="L248" s="66" t="str">
        <f>IF(AND(計算シート!$E$5='計算式あて（当初）'!C248,E248="○",G248="○",I248="○"),"◇","")</f>
        <v/>
      </c>
    </row>
    <row r="249" spans="1:12">
      <c r="A249" s="25"/>
      <c r="B249" s="25"/>
      <c r="C249" s="24">
        <v>38200</v>
      </c>
      <c r="D249" s="23" t="s">
        <v>69</v>
      </c>
      <c r="E249" s="64" t="str">
        <f>IFERROR(IF(D249=計算シート!$B$7,"○",""),"")</f>
        <v/>
      </c>
      <c r="F249" s="23" t="s">
        <v>590</v>
      </c>
      <c r="G249" s="64" t="str">
        <f>IFERROR(IF(AND(計算シート!$B$11&gt;=4160,計算シート!$B$11&lt;=12060),"○",""),"")</f>
        <v/>
      </c>
      <c r="H249" s="23" t="s">
        <v>413</v>
      </c>
      <c r="I249" s="64" t="str">
        <f t="shared" si="27"/>
        <v/>
      </c>
      <c r="J249" s="64">
        <f>ROUNDDOWN(0.8*計算シート!$B$11-0.3*((計算シート!$B$11-4160)/(12060-4160))*計算シート!$B$11,0)</f>
        <v>0</v>
      </c>
      <c r="K249" s="64" t="str">
        <f>IF(AND(計算シート!$E$3='計算式あて（当初）'!C249,E249="○",G249="○",I249="○"),"☆","")</f>
        <v/>
      </c>
      <c r="L249" s="66" t="str">
        <f>IF(AND(計算シート!$E$5='計算式あて（当初）'!C249,E249="○",G249="○",I249="○"),"◇","")</f>
        <v/>
      </c>
    </row>
    <row r="250" spans="1:12">
      <c r="A250" s="25"/>
      <c r="B250" s="25"/>
      <c r="C250" s="24">
        <v>38200</v>
      </c>
      <c r="D250" s="23" t="s">
        <v>69</v>
      </c>
      <c r="E250" s="64" t="str">
        <f>IFERROR(IF(D250=計算シート!$B$7,"○",""),"")</f>
        <v/>
      </c>
      <c r="F250" s="23" t="s">
        <v>593</v>
      </c>
      <c r="G250" s="64" t="str">
        <f>IFERROR(IF(AND(計算シート!$B$11&gt;12060,計算シート!$B$11&lt;=15870),"○",""),"")</f>
        <v/>
      </c>
      <c r="H250" s="23" t="s">
        <v>82</v>
      </c>
      <c r="I250" s="64" t="str">
        <f t="shared" si="27"/>
        <v/>
      </c>
      <c r="J250" s="64">
        <f>ROUNDDOWN(計算シート!$B$11*0.5,0)</f>
        <v>0</v>
      </c>
      <c r="K250" s="64" t="str">
        <f>IF(AND(計算シート!$E$3='計算式あて（当初）'!C250,E250="○",G250="○",I250="○"),"☆","")</f>
        <v/>
      </c>
      <c r="L250" s="66" t="str">
        <f>IF(AND(計算シート!$E$5='計算式あて（当初）'!C250,E250="○",G250="○",I250="○"),"◇","")</f>
        <v/>
      </c>
    </row>
    <row r="251" spans="1:12">
      <c r="A251" s="25"/>
      <c r="B251" s="25"/>
      <c r="C251" s="24">
        <v>38200</v>
      </c>
      <c r="D251" s="23" t="s">
        <v>69</v>
      </c>
      <c r="E251" s="64" t="str">
        <f>IFERROR(IF(D251=計算シート!$B$7,"○",""),"")</f>
        <v/>
      </c>
      <c r="F251" s="23" t="s">
        <v>404</v>
      </c>
      <c r="G251" s="64" t="str">
        <f>IFERROR(IF(計算シート!$B$11&gt;15870,"○",""),"")</f>
        <v/>
      </c>
      <c r="H251" s="23" t="s">
        <v>408</v>
      </c>
      <c r="I251" s="64" t="str">
        <f t="shared" si="27"/>
        <v/>
      </c>
      <c r="J251" s="64">
        <v>7935</v>
      </c>
      <c r="K251" s="64" t="str">
        <f>IF(AND(計算シート!$E$3='計算式あて（当初）'!C251,E251="○",G251="○",I251="○"),"☆","")</f>
        <v/>
      </c>
      <c r="L251" s="66" t="str">
        <f>IF(AND(計算シート!$E$5='計算式あて（当初）'!C251,E251="○",G251="○",I251="○"),"◇","")</f>
        <v/>
      </c>
    </row>
    <row r="252" spans="1:12">
      <c r="A252" s="25"/>
      <c r="B252" s="25"/>
      <c r="C252" s="24">
        <v>38200</v>
      </c>
      <c r="D252" s="23" t="s">
        <v>70</v>
      </c>
      <c r="E252" s="64" t="str">
        <f>IFERROR(IF(D252=計算シート!$B$7,"○",""),"")</f>
        <v/>
      </c>
      <c r="F252" s="23" t="s">
        <v>284</v>
      </c>
      <c r="G252" s="64" t="str">
        <f>IFERROR(IF(AND(計算シート!$B$11&gt;=2110,計算シート!$B$11&lt;4160),"○",""),"")</f>
        <v/>
      </c>
      <c r="H252" s="23" t="s">
        <v>80</v>
      </c>
      <c r="I252" s="64" t="str">
        <f t="shared" si="27"/>
        <v/>
      </c>
      <c r="J252" s="64">
        <f>ROUNDDOWN(計算シート!$B$11*0.8,0)</f>
        <v>0</v>
      </c>
      <c r="K252" s="64" t="str">
        <f>IF(AND(計算シート!$E$3='計算式あて（当初）'!C252,E252="○",G252="○",I252="○"),"☆","")</f>
        <v/>
      </c>
      <c r="L252" s="66" t="str">
        <f>IF(AND(計算シート!$E$5='計算式あて（当初）'!C252,E252="○",G252="○",I252="○"),"◇","")</f>
        <v/>
      </c>
    </row>
    <row r="253" spans="1:12">
      <c r="A253" s="25"/>
      <c r="B253" s="25"/>
      <c r="C253" s="24">
        <v>38200</v>
      </c>
      <c r="D253" s="23" t="s">
        <v>70</v>
      </c>
      <c r="E253" s="64" t="str">
        <f>IFERROR(IF(D253=計算シート!$B$7,"○",""),"")</f>
        <v/>
      </c>
      <c r="F253" s="23" t="s">
        <v>594</v>
      </c>
      <c r="G253" s="64" t="str">
        <f>IFERROR(IF(AND(計算シート!$B$11&gt;=4160,計算シート!$B$11&lt;=10810),"○",""),"")</f>
        <v/>
      </c>
      <c r="H253" s="23" t="s">
        <v>409</v>
      </c>
      <c r="I253" s="64" t="str">
        <f>IFERROR(IF(J253&lt;J254,"○",""),"")</f>
        <v>○</v>
      </c>
      <c r="J253" s="64">
        <f>ROUNDDOWN(0.8*計算シート!$B$11-0.35*((計算シート!$B$11-4160)/(10810-4160))*計算シート!$B$11,0)</f>
        <v>0</v>
      </c>
      <c r="K253" s="64" t="str">
        <f>IF(AND(計算シート!$E$3='計算式あて（当初）'!C253,E253="○",G253="○",I253="○"),"☆","")</f>
        <v/>
      </c>
      <c r="L253" s="66" t="str">
        <f>IF(AND(計算シート!$E$5='計算式あて（当初）'!C253,E253="○",G253="○",I253="○"),"◇","")</f>
        <v/>
      </c>
    </row>
    <row r="254" spans="1:12">
      <c r="A254" s="25"/>
      <c r="B254" s="25"/>
      <c r="C254" s="24">
        <v>38200</v>
      </c>
      <c r="D254" s="23" t="s">
        <v>70</v>
      </c>
      <c r="E254" s="64" t="str">
        <f>IFERROR(IF(D254=計算シート!$B$7,"○",""),"")</f>
        <v/>
      </c>
      <c r="F254" s="23" t="s">
        <v>594</v>
      </c>
      <c r="G254" s="64" t="str">
        <f>IFERROR(IF(AND(計算シート!$B$11&gt;=4160,計算シート!$B$11&lt;=10810),"○",""),"")</f>
        <v/>
      </c>
      <c r="H254" s="23" t="s">
        <v>410</v>
      </c>
      <c r="I254" s="64" t="str">
        <f>IFERROR(IF(J254&lt;J253,"○",""),"")</f>
        <v/>
      </c>
      <c r="J254" s="64">
        <f>ROUNDDOWN(計算シート!$B$11*0.05+(10810*0.4),0)</f>
        <v>4324</v>
      </c>
      <c r="K254" s="64" t="str">
        <f>IF(AND(計算シート!$E$3='計算式あて（当初）'!C254,E254="○",G254="○",I254="○"),"☆","")</f>
        <v/>
      </c>
      <c r="L254" s="66" t="str">
        <f>IF(AND(計算シート!$E$5='計算式あて（当初）'!C254,E254="○",G254="○",I254="○"),"◇","")</f>
        <v/>
      </c>
    </row>
    <row r="255" spans="1:12">
      <c r="A255" s="25"/>
      <c r="B255" s="25"/>
      <c r="C255" s="24">
        <v>38200</v>
      </c>
      <c r="D255" s="23" t="s">
        <v>70</v>
      </c>
      <c r="E255" s="64" t="str">
        <f>IFERROR(IF(D255=計算シート!$B$7,"○",""),"")</f>
        <v/>
      </c>
      <c r="F255" s="23" t="s">
        <v>411</v>
      </c>
      <c r="G255" s="64" t="str">
        <f>IFERROR(IF(AND(計算シート!$B$11&gt;10810,計算シート!$B$11&lt;=15370),"○",""),"")</f>
        <v/>
      </c>
      <c r="H255" s="23" t="s">
        <v>84</v>
      </c>
      <c r="I255" s="64" t="str">
        <f t="shared" ref="I255:I256" si="28">G255</f>
        <v/>
      </c>
      <c r="J255" s="64">
        <f>ROUNDDOWN(計算シート!$B$11*0.45,0)</f>
        <v>0</v>
      </c>
      <c r="K255" s="64" t="str">
        <f>IF(AND(計算シート!$E$3='計算式あて（当初）'!C255,E255="○",G255="○",I255="○"),"☆","")</f>
        <v/>
      </c>
      <c r="L255" s="66" t="str">
        <f>IF(AND(計算シート!$E$5='計算式あて（当初）'!C255,E255="○",G255="○",I255="○"),"◇","")</f>
        <v/>
      </c>
    </row>
    <row r="256" spans="1:12">
      <c r="A256" s="27"/>
      <c r="B256" s="28"/>
      <c r="C256" s="24">
        <v>38200</v>
      </c>
      <c r="D256" s="23" t="s">
        <v>70</v>
      </c>
      <c r="E256" s="64" t="str">
        <f>IFERROR(IF(D256=計算シート!$B$7,"○",""),"")</f>
        <v/>
      </c>
      <c r="F256" s="23" t="s">
        <v>373</v>
      </c>
      <c r="G256" s="64" t="str">
        <f>IFERROR(IF(計算シート!$B$11&gt;15370,"○",""),"")</f>
        <v/>
      </c>
      <c r="H256" s="23" t="s">
        <v>412</v>
      </c>
      <c r="I256" s="64" t="str">
        <f t="shared" si="28"/>
        <v/>
      </c>
      <c r="J256" s="64">
        <v>6916</v>
      </c>
      <c r="K256" s="64" t="str">
        <f>IF(AND(計算シート!$E$3='計算式あて（当初）'!C256,E256="○",G256="○",I256="○"),"☆","")</f>
        <v/>
      </c>
      <c r="L256" s="66" t="str">
        <f>IF(AND(計算シート!$E$5='計算式あて（当初）'!C256,E256="○",G256="○",I256="○"),"◇","")</f>
        <v/>
      </c>
    </row>
  </sheetData>
  <phoneticPr fontId="12"/>
  <pageMargins left="0.7" right="0.7" top="0.75" bottom="0.75" header="0.3" footer="0.3"/>
  <pageSetup paperSize="9" scale="4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3" sqref="B3"/>
    </sheetView>
  </sheetViews>
  <sheetFormatPr defaultRowHeight="13.5"/>
  <sheetData>
    <row r="3" spans="2:2" ht="14.25">
      <c r="B3" s="8"/>
    </row>
  </sheetData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簡易計算ツール</vt:lpstr>
      <vt:lpstr>リスト</vt:lpstr>
      <vt:lpstr>計算シート</vt:lpstr>
      <vt:lpstr>計算式あて（再計算後）</vt:lpstr>
      <vt:lpstr>計算式あて（当初）</vt:lpstr>
      <vt:lpstr>カメ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2019-12-03T01:06:33Z</cp:lastPrinted>
  <dcterms:created xsi:type="dcterms:W3CDTF">2019-09-30T06:30:21Z</dcterms:created>
  <dcterms:modified xsi:type="dcterms:W3CDTF">2020-05-15T04:58:14Z</dcterms:modified>
</cp:coreProperties>
</file>